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548\Desktop\"/>
    </mc:Choice>
  </mc:AlternateContent>
  <xr:revisionPtr revIDLastSave="0" documentId="13_ncr:1_{4AED670E-4053-4B4E-8369-748866879151}" xr6:coauthVersionLast="47" xr6:coauthVersionMax="47" xr10:uidLastSave="{00000000-0000-0000-0000-000000000000}"/>
  <bookViews>
    <workbookView xWindow="-120" yWindow="-120" windowWidth="29040" windowHeight="15525" xr2:uid="{C7EFD75D-B102-4543-8394-738CA38A81F3}"/>
  </bookViews>
  <sheets>
    <sheet name="Střednědobý výhled" sheetId="19" r:id="rId1"/>
    <sheet name="Konsolidovaný" sheetId="18" r:id="rId2"/>
    <sheet name="Rektor" sheetId="1" r:id="rId3"/>
    <sheet name="Právní oddělení" sheetId="2" r:id="rId4"/>
    <sheet name="IT" sheetId="3" r:id="rId5"/>
    <sheet name="Mimořádné a rezerva" sheetId="4" r:id="rId6"/>
    <sheet name="VPEMPV" sheetId="5" r:id="rId7"/>
    <sheet name="ÚŘAS" sheetId="6" r:id="rId8"/>
    <sheet name="TČ a Strategie" sheetId="7" r:id="rId9"/>
    <sheet name="Prorektor - statutární zástupce" sheetId="8" r:id="rId10"/>
    <sheet name="ÚVV" sheetId="9" r:id="rId11"/>
    <sheet name="EÚ" sheetId="10" r:id="rId12"/>
    <sheet name="COP" sheetId="12" r:id="rId13"/>
    <sheet name="Kvestor" sheetId="14" r:id="rId14"/>
    <sheet name="ÚPS" sheetId="15" r:id="rId15"/>
    <sheet name="ÚTT" sheetId="16" r:id="rId16"/>
    <sheet name="ÚZO" sheetId="17" r:id="rId17"/>
  </sheets>
  <definedNames>
    <definedName name="_xlnm._FilterDatabase" localSheetId="12" hidden="1">COP!$A$1:$B$28</definedName>
    <definedName name="_xlnm._FilterDatabase" localSheetId="11" hidden="1">EÚ!$A$1:$B$40</definedName>
    <definedName name="_xlnm._FilterDatabase" localSheetId="4" hidden="1">IT!$A$1:$B$26</definedName>
    <definedName name="_xlnm._FilterDatabase" localSheetId="13" hidden="1">Kvestor!$A$1:$A$191</definedName>
    <definedName name="_xlnm._FilterDatabase" localSheetId="5" hidden="1">'Mimořádné a rezerva'!$A$1:$B$30</definedName>
    <definedName name="_xlnm._FilterDatabase" localSheetId="9" hidden="1">'Prorektor - statutární zástupce'!$A$1:$B$44</definedName>
    <definedName name="_xlnm._FilterDatabase" localSheetId="2" hidden="1">Rektor!$A$1:$B$61</definedName>
    <definedName name="_xlnm._FilterDatabase" localSheetId="8" hidden="1">'TČ a Strategie'!$A$1:$B$75</definedName>
    <definedName name="_xlnm._FilterDatabase" localSheetId="14" hidden="1">ÚPS!$A$1:$B$140</definedName>
    <definedName name="_xlnm._FilterDatabase" localSheetId="7" hidden="1">ÚŘAS!$A$1:$B$103</definedName>
    <definedName name="_xlnm._FilterDatabase" localSheetId="15" hidden="1">ÚTT!$A$1:$B$140</definedName>
    <definedName name="_xlnm._FilterDatabase" localSheetId="10" hidden="1">ÚVV!$A$1:$B$93</definedName>
    <definedName name="_xlnm._FilterDatabase" localSheetId="16" hidden="1">ÚZO!$A$1:$B$132</definedName>
    <definedName name="_xlnm._FilterDatabase" localSheetId="6" hidden="1">VPEMPV!$A$1:$B$20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9" l="1"/>
  <c r="D31" i="19"/>
  <c r="D4" i="19"/>
  <c r="G6" i="19"/>
  <c r="G7" i="19"/>
  <c r="G8" i="19"/>
  <c r="G9" i="19"/>
  <c r="H9" i="19" s="1"/>
  <c r="G10" i="19"/>
  <c r="G11" i="19"/>
  <c r="G12" i="19"/>
  <c r="G13" i="19"/>
  <c r="H13" i="19" s="1"/>
  <c r="I13" i="19" s="1"/>
  <c r="G14" i="19"/>
  <c r="G15" i="19"/>
  <c r="G16" i="19"/>
  <c r="G17" i="19"/>
  <c r="G18" i="19"/>
  <c r="G19" i="19"/>
  <c r="G20" i="19"/>
  <c r="H20" i="19" s="1"/>
  <c r="G21" i="19"/>
  <c r="H21" i="19" s="1"/>
  <c r="I21" i="19" s="1"/>
  <c r="G22" i="19"/>
  <c r="G23" i="19"/>
  <c r="H23" i="19" s="1"/>
  <c r="I23" i="19" s="1"/>
  <c r="G24" i="19"/>
  <c r="H24" i="19" s="1"/>
  <c r="I24" i="19" s="1"/>
  <c r="G25" i="19"/>
  <c r="H25" i="19" s="1"/>
  <c r="I25" i="19" s="1"/>
  <c r="G26" i="19"/>
  <c r="G27" i="19"/>
  <c r="G28" i="19"/>
  <c r="H28" i="19" s="1"/>
  <c r="I28" i="19" s="1"/>
  <c r="G29" i="19"/>
  <c r="H29" i="19" s="1"/>
  <c r="I29" i="19" s="1"/>
  <c r="G30" i="19"/>
  <c r="G31" i="19"/>
  <c r="G32" i="19"/>
  <c r="H32" i="19" s="1"/>
  <c r="I32" i="19" s="1"/>
  <c r="G5" i="19"/>
  <c r="M7" i="18"/>
  <c r="I10" i="19"/>
  <c r="I11" i="19"/>
  <c r="H6" i="19"/>
  <c r="H5" i="19" s="1"/>
  <c r="I5" i="19" s="1"/>
  <c r="H7" i="19"/>
  <c r="I7" i="19" s="1"/>
  <c r="H10" i="19"/>
  <c r="H11" i="19"/>
  <c r="H12" i="19"/>
  <c r="I12" i="19" s="1"/>
  <c r="H14" i="19"/>
  <c r="I14" i="19" s="1"/>
  <c r="H15" i="19"/>
  <c r="I15" i="19" s="1"/>
  <c r="H16" i="19"/>
  <c r="I16" i="19" s="1"/>
  <c r="H18" i="19"/>
  <c r="H17" i="19" s="1"/>
  <c r="I17" i="19" s="1"/>
  <c r="H22" i="19"/>
  <c r="I22" i="19" s="1"/>
  <c r="H27" i="19"/>
  <c r="H30" i="19"/>
  <c r="I30" i="19" s="1"/>
  <c r="H31" i="19"/>
  <c r="I31" i="19" s="1"/>
  <c r="C6" i="19"/>
  <c r="D6" i="19" s="1"/>
  <c r="E6" i="19" s="1"/>
  <c r="C7" i="19"/>
  <c r="D7" i="19" s="1"/>
  <c r="E7" i="19" s="1"/>
  <c r="C8" i="19"/>
  <c r="D8" i="19" s="1"/>
  <c r="E8" i="19" s="1"/>
  <c r="C9" i="19"/>
  <c r="D9" i="19" s="1"/>
  <c r="E9" i="19" s="1"/>
  <c r="C10" i="19"/>
  <c r="D10" i="19" s="1"/>
  <c r="E10" i="19" s="1"/>
  <c r="C11" i="19"/>
  <c r="D11" i="19" s="1"/>
  <c r="E11" i="19" s="1"/>
  <c r="C12" i="19"/>
  <c r="D12" i="19" s="1"/>
  <c r="E12" i="19" s="1"/>
  <c r="C13" i="19"/>
  <c r="D13" i="19" s="1"/>
  <c r="E13" i="19" s="1"/>
  <c r="C14" i="19"/>
  <c r="D14" i="19" s="1"/>
  <c r="E14" i="19" s="1"/>
  <c r="C15" i="19"/>
  <c r="D15" i="19" s="1"/>
  <c r="E15" i="19" s="1"/>
  <c r="C16" i="19"/>
  <c r="D16" i="19" s="1"/>
  <c r="E16" i="19" s="1"/>
  <c r="C17" i="19"/>
  <c r="D17" i="19" s="1"/>
  <c r="E17" i="19" s="1"/>
  <c r="C18" i="19"/>
  <c r="D18" i="19" s="1"/>
  <c r="E18" i="19" s="1"/>
  <c r="C19" i="19"/>
  <c r="D19" i="19" s="1"/>
  <c r="E19" i="19" s="1"/>
  <c r="C20" i="19"/>
  <c r="D20" i="19" s="1"/>
  <c r="E20" i="19" s="1"/>
  <c r="C21" i="19"/>
  <c r="D21" i="19" s="1"/>
  <c r="E21" i="19" s="1"/>
  <c r="C22" i="19"/>
  <c r="D22" i="19" s="1"/>
  <c r="E22" i="19" s="1"/>
  <c r="C23" i="19"/>
  <c r="D23" i="19" s="1"/>
  <c r="E23" i="19" s="1"/>
  <c r="C24" i="19"/>
  <c r="D24" i="19" s="1"/>
  <c r="E24" i="19" s="1"/>
  <c r="C25" i="19"/>
  <c r="D25" i="19" s="1"/>
  <c r="E25" i="19" s="1"/>
  <c r="C26" i="19"/>
  <c r="D26" i="19" s="1"/>
  <c r="E26" i="19" s="1"/>
  <c r="C27" i="19"/>
  <c r="D27" i="19" s="1"/>
  <c r="E27" i="19" s="1"/>
  <c r="C28" i="19"/>
  <c r="D28" i="19" s="1"/>
  <c r="E28" i="19" s="1"/>
  <c r="C29" i="19"/>
  <c r="D29" i="19" s="1"/>
  <c r="E29" i="19" s="1"/>
  <c r="C30" i="19"/>
  <c r="D30" i="19" s="1"/>
  <c r="E30" i="19" s="1"/>
  <c r="C5" i="19"/>
  <c r="D5" i="19" s="1"/>
  <c r="I18" i="19" l="1"/>
  <c r="I20" i="19"/>
  <c r="H19" i="19"/>
  <c r="I19" i="19" s="1"/>
  <c r="H8" i="19"/>
  <c r="I8" i="19" s="1"/>
  <c r="I4" i="19" s="1"/>
  <c r="I9" i="19"/>
  <c r="H26" i="19"/>
  <c r="I26" i="19" s="1"/>
  <c r="I6" i="19"/>
  <c r="I27" i="19"/>
  <c r="E5" i="19"/>
  <c r="H4" i="19" l="1"/>
  <c r="L33" i="18" l="1"/>
  <c r="K33" i="18"/>
  <c r="J33" i="18"/>
  <c r="I33" i="18"/>
  <c r="L35" i="18"/>
  <c r="L34" i="18"/>
  <c r="L32" i="18"/>
  <c r="L31" i="18"/>
  <c r="L30" i="18"/>
  <c r="L26" i="18"/>
  <c r="L24" i="18"/>
  <c r="K24" i="18"/>
  <c r="J24" i="18"/>
  <c r="I24" i="18"/>
  <c r="L23" i="18"/>
  <c r="I23" i="18"/>
  <c r="L21" i="18"/>
  <c r="J19" i="18" l="1"/>
  <c r="L18" i="18"/>
  <c r="K18" i="18"/>
  <c r="J18" i="18"/>
  <c r="I18" i="18"/>
  <c r="L17" i="18"/>
  <c r="L16" i="18"/>
  <c r="J16" i="18"/>
  <c r="L14" i="18"/>
  <c r="L13" i="18"/>
  <c r="B78" i="6"/>
  <c r="L12" i="18"/>
  <c r="L10" i="18"/>
  <c r="L9" i="18"/>
  <c r="C23" i="18"/>
  <c r="F26" i="18"/>
  <c r="E26" i="18"/>
  <c r="D26" i="18"/>
  <c r="C26" i="18"/>
  <c r="C25" i="18"/>
  <c r="D24" i="18"/>
  <c r="C24" i="18"/>
  <c r="E24" i="18"/>
  <c r="F24" i="18"/>
  <c r="F23" i="18"/>
  <c r="E23" i="18"/>
  <c r="D23" i="18" l="1"/>
  <c r="C22" i="18"/>
  <c r="F22" i="18"/>
  <c r="E22" i="18"/>
  <c r="D22" i="18"/>
  <c r="C21" i="18"/>
  <c r="F21" i="18"/>
  <c r="E21" i="18"/>
  <c r="D21" i="18"/>
  <c r="F27" i="18"/>
  <c r="C27" i="18"/>
  <c r="F28" i="18"/>
  <c r="E28" i="18"/>
  <c r="D28" i="18"/>
  <c r="C28" i="18"/>
  <c r="F29" i="18"/>
  <c r="E29" i="18"/>
  <c r="D29" i="18"/>
  <c r="C29" i="18"/>
  <c r="C30" i="18"/>
  <c r="E31" i="18" l="1"/>
  <c r="D31" i="18"/>
  <c r="C31" i="18"/>
  <c r="E32" i="18"/>
  <c r="D32" i="18"/>
  <c r="C32" i="18" l="1"/>
  <c r="F33" i="18" l="1"/>
  <c r="C20" i="18" l="1"/>
  <c r="F20" i="18"/>
  <c r="E20" i="18"/>
  <c r="D20" i="18"/>
  <c r="C19" i="18"/>
  <c r="F19" i="18"/>
  <c r="E19" i="18"/>
  <c r="D19" i="18"/>
  <c r="C18" i="18"/>
  <c r="F18" i="18"/>
  <c r="E18" i="18"/>
  <c r="D18" i="18"/>
  <c r="C17" i="18"/>
  <c r="F17" i="18"/>
  <c r="E17" i="18"/>
  <c r="D17" i="18"/>
  <c r="C16" i="18"/>
  <c r="F16" i="18"/>
  <c r="E16" i="18"/>
  <c r="D16" i="18"/>
  <c r="C15" i="18"/>
  <c r="F15" i="18"/>
  <c r="E15" i="18"/>
  <c r="D15" i="18"/>
  <c r="C14" i="18"/>
  <c r="F14" i="18"/>
  <c r="E14" i="18"/>
  <c r="D14" i="18"/>
  <c r="B57" i="14"/>
  <c r="C13" i="18"/>
  <c r="F13" i="18"/>
  <c r="E13" i="18"/>
  <c r="D13" i="18"/>
  <c r="C8" i="18"/>
  <c r="C12" i="18"/>
  <c r="C11" i="18"/>
  <c r="F11" i="18"/>
  <c r="E11" i="18"/>
  <c r="D11" i="18"/>
  <c r="C9" i="18"/>
  <c r="F8" i="18"/>
  <c r="E8" i="18"/>
  <c r="D8" i="18"/>
  <c r="C10" i="18"/>
  <c r="F10" i="18"/>
  <c r="E10" i="18"/>
  <c r="D10" i="18"/>
  <c r="G36" i="18"/>
  <c r="M36" i="18"/>
  <c r="O1" i="18" l="1"/>
  <c r="I20" i="18"/>
  <c r="K20" i="18"/>
  <c r="L20" i="18"/>
  <c r="J20" i="18"/>
  <c r="K11" i="18"/>
  <c r="B16" i="6"/>
  <c r="B38" i="8" l="1"/>
  <c r="B75" i="6"/>
  <c r="G33" i="18" l="1"/>
  <c r="G25" i="18"/>
  <c r="G26" i="18"/>
  <c r="G27" i="18"/>
  <c r="G28" i="18"/>
  <c r="G29" i="18"/>
  <c r="G30" i="18"/>
  <c r="G31" i="18"/>
  <c r="G32" i="18"/>
  <c r="G24" i="18"/>
  <c r="G10" i="18"/>
  <c r="M31" i="18"/>
  <c r="M32" i="18"/>
  <c r="M33" i="18"/>
  <c r="M34" i="18"/>
  <c r="M35" i="18"/>
  <c r="M30" i="18"/>
  <c r="M24" i="18"/>
  <c r="M25" i="18"/>
  <c r="M26" i="18"/>
  <c r="M27" i="18"/>
  <c r="M28" i="18"/>
  <c r="M23" i="18"/>
  <c r="M21" i="18"/>
  <c r="M13" i="18"/>
  <c r="M14" i="18"/>
  <c r="M15" i="18"/>
  <c r="M16" i="18"/>
  <c r="M17" i="18"/>
  <c r="M18" i="18"/>
  <c r="M19" i="18"/>
  <c r="M12" i="18"/>
  <c r="M10" i="18"/>
  <c r="M9" i="18"/>
  <c r="L8" i="18"/>
  <c r="G8" i="18"/>
  <c r="G35" i="18"/>
  <c r="G12" i="18"/>
  <c r="K8" i="18"/>
  <c r="J8" i="18"/>
  <c r="I8" i="18"/>
  <c r="I29" i="18" l="1"/>
  <c r="J22" i="18"/>
  <c r="K22" i="18"/>
  <c r="I11" i="18"/>
  <c r="J11" i="18"/>
  <c r="G16" i="18"/>
  <c r="G22" i="18"/>
  <c r="G20" i="18"/>
  <c r="G11" i="18"/>
  <c r="G13" i="18"/>
  <c r="D7" i="18"/>
  <c r="M8" i="18"/>
  <c r="G17" i="18"/>
  <c r="M11" i="18"/>
  <c r="G18" i="18"/>
  <c r="J29" i="18"/>
  <c r="G14" i="18"/>
  <c r="G19" i="18"/>
  <c r="M22" i="18"/>
  <c r="K29" i="18"/>
  <c r="G23" i="18"/>
  <c r="G21" i="18"/>
  <c r="E7" i="18"/>
  <c r="G15" i="18"/>
  <c r="M29" i="18"/>
  <c r="G9" i="18"/>
  <c r="M20" i="18"/>
  <c r="I22" i="18"/>
  <c r="J7" i="18" l="1"/>
  <c r="I7" i="18"/>
  <c r="K7" i="18"/>
  <c r="L11" i="18"/>
  <c r="L22" i="18"/>
  <c r="L29" i="18"/>
  <c r="O2" i="18" l="1"/>
  <c r="O3" i="18" s="1"/>
  <c r="B24" i="4" s="1"/>
  <c r="F34" i="18" s="1"/>
  <c r="G34" i="18" s="1"/>
  <c r="C31" i="19" s="1"/>
  <c r="C7" i="18"/>
  <c r="L7" i="18"/>
  <c r="F7" i="18" l="1"/>
  <c r="G7" i="18" s="1"/>
  <c r="B26" i="7"/>
  <c r="B25" i="7"/>
  <c r="B24" i="7"/>
  <c r="B23" i="7"/>
  <c r="B22" i="7"/>
  <c r="B131" i="17"/>
  <c r="B98" i="17"/>
  <c r="B89" i="17"/>
  <c r="B83" i="17"/>
  <c r="B79" i="17"/>
  <c r="B67" i="17"/>
  <c r="B51" i="17"/>
  <c r="B36" i="17"/>
  <c r="B16" i="17"/>
  <c r="B2" i="17"/>
  <c r="B139" i="16"/>
  <c r="B107" i="16"/>
  <c r="B99" i="16"/>
  <c r="B95" i="16"/>
  <c r="B83" i="16"/>
  <c r="B68" i="16"/>
  <c r="B55" i="16"/>
  <c r="B36" i="16"/>
  <c r="B29" i="16"/>
  <c r="B16" i="16"/>
  <c r="B2" i="16"/>
  <c r="B113" i="17" l="1"/>
  <c r="B132" i="17" s="1"/>
  <c r="B118" i="16"/>
  <c r="B140" i="16" s="1"/>
  <c r="B139" i="15" l="1"/>
  <c r="B112" i="15"/>
  <c r="B102" i="15"/>
  <c r="B97" i="15"/>
  <c r="B84" i="15"/>
  <c r="B72" i="15"/>
  <c r="B55" i="15"/>
  <c r="B39" i="15"/>
  <c r="B32" i="15"/>
  <c r="B17" i="15"/>
  <c r="B2" i="15"/>
  <c r="B121" i="15" l="1"/>
  <c r="B140" i="15"/>
  <c r="B30" i="1" l="1"/>
  <c r="B13" i="1" s="1"/>
  <c r="B2" i="14"/>
  <c r="B15" i="14"/>
  <c r="B32" i="14"/>
  <c r="B52" i="14"/>
  <c r="B71" i="14"/>
  <c r="B90" i="14"/>
  <c r="B106" i="14"/>
  <c r="B125" i="14"/>
  <c r="B147" i="14"/>
  <c r="B162" i="14"/>
  <c r="B165" i="14"/>
  <c r="B25" i="12"/>
  <c r="B35" i="10"/>
  <c r="B26" i="2"/>
  <c r="B2" i="12"/>
  <c r="B22" i="12" s="1"/>
  <c r="B21" i="10"/>
  <c r="B2" i="10"/>
  <c r="B65" i="9"/>
  <c r="B57" i="9"/>
  <c r="B35" i="9"/>
  <c r="B24" i="9"/>
  <c r="B2" i="9"/>
  <c r="B28" i="8"/>
  <c r="B40" i="8" s="1"/>
  <c r="B42" i="8" s="1"/>
  <c r="B21" i="8"/>
  <c r="B2" i="8"/>
  <c r="B44" i="7"/>
  <c r="B32" i="7"/>
  <c r="B29" i="7"/>
  <c r="B21" i="7"/>
  <c r="B2" i="7"/>
  <c r="B102" i="6"/>
  <c r="B73" i="6"/>
  <c r="B56" i="6"/>
  <c r="B38" i="6"/>
  <c r="B20" i="6"/>
  <c r="B2" i="6"/>
  <c r="B22" i="5"/>
  <c r="B79" i="6" s="1"/>
  <c r="B2" i="5"/>
  <c r="B14" i="5" s="1"/>
  <c r="B2" i="4"/>
  <c r="B26" i="4" s="1"/>
  <c r="B28" i="4" s="1"/>
  <c r="B4" i="3"/>
  <c r="B21" i="3" s="1"/>
  <c r="B24" i="3" s="1"/>
  <c r="B4" i="2"/>
  <c r="B23" i="2" s="1"/>
  <c r="B29" i="2" s="1"/>
  <c r="B30" i="2" s="1"/>
  <c r="B32" i="1"/>
  <c r="B4" i="1"/>
  <c r="B170" i="14" l="1"/>
  <c r="B176" i="14" s="1"/>
  <c r="B55" i="1"/>
  <c r="B59" i="1" s="1"/>
  <c r="B81" i="6" s="1"/>
  <c r="B33" i="10"/>
  <c r="B78" i="9"/>
  <c r="B85" i="9" s="1"/>
  <c r="B82" i="6" s="1"/>
  <c r="B86" i="9"/>
  <c r="B83" i="6" s="1"/>
  <c r="B65" i="7"/>
  <c r="B73" i="7" s="1"/>
  <c r="B84" i="6" s="1"/>
  <c r="B23" i="5"/>
  <c r="B24" i="5" s="1"/>
  <c r="B30" i="4"/>
  <c r="B35" i="4" s="1"/>
  <c r="B36" i="4" s="1"/>
  <c r="B88" i="6"/>
  <c r="B39" i="10"/>
  <c r="B40" i="10" s="1"/>
  <c r="B27" i="12"/>
  <c r="B28" i="12" s="1"/>
  <c r="B89" i="6"/>
  <c r="B80" i="6"/>
  <c r="B26" i="3"/>
  <c r="B27" i="3" s="1"/>
  <c r="B187" i="14" l="1"/>
  <c r="B188" i="14" s="1"/>
  <c r="B85" i="6"/>
  <c r="B61" i="1"/>
  <c r="B62" i="1" s="1"/>
  <c r="B92" i="9"/>
  <c r="B74" i="7"/>
  <c r="B75" i="7" s="1"/>
  <c r="B43" i="8"/>
  <c r="B86" i="6"/>
  <c r="B77" i="6" l="1"/>
  <c r="B90" i="6" l="1"/>
  <c r="B103" i="6" l="1"/>
  <c r="E4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Fraňková Hana</author>
  </authors>
  <commentList>
    <comment ref="F23" authorId="0" shapeId="0" xr:uid="{08CD7E9B-58C2-4602-AD33-BA55D762C981}">
      <text>
        <r>
          <rPr>
            <b/>
            <sz val="9"/>
            <color rgb="FF000000"/>
            <rFont val="Tahoma"/>
            <family val="2"/>
            <charset val="238"/>
          </rPr>
          <t>Fraňková Hana: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Dříve nazváno "odpisy", upravená výše z původních 11.500.000,- Kč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Fraňková Hana</author>
  </authors>
  <commentList>
    <comment ref="H26" authorId="0" shapeId="0" xr:uid="{6F4AF429-CF51-4418-BA05-E06CFF792083}">
      <text>
        <r>
          <rPr>
            <b/>
            <sz val="9"/>
            <color rgb="FF000000"/>
            <rFont val="Tahoma"/>
            <family val="2"/>
            <charset val="238"/>
          </rPr>
          <t>Fraňková Hana: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Dříve nazváno "odpisy", upravená výše z původních 11.500.000,- Kč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Fraňková Hana</author>
  </authors>
  <commentList>
    <comment ref="A34" authorId="0" shapeId="0" xr:uid="{AB865959-0679-40B1-94F9-7A355E3379A5}">
      <text>
        <r>
          <rPr>
            <b/>
            <sz val="9"/>
            <color indexed="81"/>
            <rFont val="Tahoma"/>
            <family val="2"/>
            <charset val="238"/>
          </rPr>
          <t>Fraňková Hana:</t>
        </r>
        <r>
          <rPr>
            <sz val="9"/>
            <color indexed="81"/>
            <rFont val="Tahoma"/>
            <family val="2"/>
            <charset val="238"/>
          </rPr>
          <t xml:space="preserve">
autoprovoz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Janíková Jana</author>
  </authors>
  <commentList>
    <comment ref="A4" authorId="0" shapeId="0" xr:uid="{A8D12B53-FE4C-4F95-BAD2-6D12EBDD31D9}">
      <text>
        <r>
          <rPr>
            <b/>
            <sz val="9"/>
            <color indexed="81"/>
            <rFont val="Tahoma"/>
            <family val="2"/>
            <charset val="238"/>
          </rPr>
          <t>Janíková Jana:</t>
        </r>
        <r>
          <rPr>
            <sz val="9"/>
            <color indexed="81"/>
            <rFont val="Tahoma"/>
            <family val="2"/>
            <charset val="238"/>
          </rPr>
          <t xml:space="preserve">
1009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Fraňková Hana</author>
    <author>Janíková Jana</author>
  </authors>
  <commentList>
    <comment ref="B87" authorId="0" shapeId="0" xr:uid="{04F07405-305B-412A-ABF5-C8C1310E8D45}">
      <text>
        <r>
          <rPr>
            <b/>
            <sz val="9"/>
            <color rgb="FF000000"/>
            <rFont val="Tahoma"/>
            <family val="2"/>
            <charset val="238"/>
          </rPr>
          <t>Fraňková Hana: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Časopis</t>
        </r>
      </text>
    </comment>
    <comment ref="B101" authorId="1" shapeId="0" xr:uid="{945FA8E3-6DCE-406C-9F6E-A7194AAA06EA}">
      <text>
        <r>
          <rPr>
            <b/>
            <sz val="9"/>
            <color rgb="FF000000"/>
            <rFont val="Tahoma"/>
            <family val="2"/>
            <charset val="238"/>
          </rPr>
          <t>Janíková Jana: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Ukazatel U + S (MŠMT)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Fraňková Hana</author>
    <author>Janíková Jana</author>
  </authors>
  <commentList>
    <comment ref="B16" authorId="0" shapeId="0" xr:uid="{9CED7925-289D-421A-A4BB-0F9169599B7A}">
      <text>
        <r>
          <rPr>
            <b/>
            <sz val="9"/>
            <color rgb="FF000000"/>
            <rFont val="Tahoma"/>
            <family val="2"/>
            <charset val="238"/>
          </rPr>
          <t>Janíková Jana: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 xml:space="preserve">3 referenti, 2 specialisté, 1 vedoucí
</t>
        </r>
      </text>
    </comment>
    <comment ref="A60" authorId="1" shapeId="0" xr:uid="{46FC32DC-EB15-47D7-A7DF-2620C220C567}">
      <text>
        <r>
          <rPr>
            <b/>
            <sz val="9"/>
            <color indexed="81"/>
            <rFont val="Tahoma"/>
            <family val="2"/>
            <charset val="238"/>
          </rPr>
          <t>Janíková Jana:</t>
        </r>
        <r>
          <rPr>
            <sz val="9"/>
            <color indexed="81"/>
            <rFont val="Tahoma"/>
            <family val="2"/>
            <charset val="238"/>
          </rPr>
          <t xml:space="preserve">
Název dle účta - zde zařazeno</t>
        </r>
      </text>
    </comment>
    <comment ref="A74" authorId="1" shapeId="0" xr:uid="{AA439857-A1DF-4B16-9512-8D0D3E13EAA4}">
      <text>
        <r>
          <rPr>
            <b/>
            <sz val="9"/>
            <color rgb="FF000000"/>
            <rFont val="Tahoma"/>
            <family val="2"/>
            <charset val="238"/>
          </rPr>
          <t>Janíková Jana: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Název dle účta - zde zařazeno</t>
        </r>
      </text>
    </comment>
    <comment ref="A88" authorId="0" shapeId="0" xr:uid="{0B7CF05B-3D31-40DC-A02A-5A11DDBF19AD}">
      <text>
        <r>
          <rPr>
            <b/>
            <sz val="9"/>
            <color rgb="FF000000"/>
            <rFont val="Tahoma"/>
            <family val="2"/>
            <charset val="238"/>
          </rPr>
          <t>Fraňková Hana:</t>
        </r>
        <r>
          <rPr>
            <sz val="9"/>
            <color rgb="FF000000"/>
            <rFont val="Tahoma"/>
            <family val="2"/>
            <charset val="238"/>
          </rPr>
          <t xml:space="preserve">
MŠMT mobility 
</t>
        </r>
      </text>
    </comment>
    <comment ref="A91" authorId="0" shapeId="0" xr:uid="{67749C5E-35C8-4435-94E4-A752335090E9}">
      <text>
        <r>
          <rPr>
            <b/>
            <sz val="9"/>
            <color rgb="FF000000"/>
            <rFont val="Tahoma"/>
            <family val="2"/>
            <charset val="238"/>
          </rPr>
          <t>Fraňková Hana: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Ceepus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Fraňková Hana</author>
    <author>Ing. Hana Fraňková</author>
  </authors>
  <commentList>
    <comment ref="A69" authorId="0" shapeId="0" xr:uid="{23C04044-DA2A-4CC7-ACBB-FC473FFEAB90}">
      <text>
        <r>
          <rPr>
            <b/>
            <sz val="9"/>
            <color indexed="81"/>
            <rFont val="Tahoma"/>
            <family val="2"/>
            <charset val="238"/>
          </rPr>
          <t>Fraňková Hana:</t>
        </r>
        <r>
          <rPr>
            <sz val="9"/>
            <color indexed="81"/>
            <rFont val="Tahoma"/>
            <family val="2"/>
            <charset val="238"/>
          </rPr>
          <t xml:space="preserve">
Transfer ústavy na DDHM (majetková obnova)</t>
        </r>
      </text>
    </comment>
    <comment ref="B178" authorId="1" shapeId="0" xr:uid="{C9050DB8-044E-4735-A7DD-4C9A44E484A1}">
      <text>
        <r>
          <rPr>
            <b/>
            <sz val="9"/>
            <color rgb="FF000000"/>
            <rFont val="Tahoma"/>
            <family val="2"/>
            <charset val="238"/>
          </rPr>
          <t>Ing. Hana Fraňková: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Dopočet vnitropříjmů</t>
        </r>
      </text>
    </comment>
  </commentList>
</comments>
</file>

<file path=xl/sharedStrings.xml><?xml version="1.0" encoding="utf-8"?>
<sst xmlns="http://schemas.openxmlformats.org/spreadsheetml/2006/main" count="1248" uniqueCount="243">
  <si>
    <t>Nákladové středisko</t>
  </si>
  <si>
    <t>Rozpočet NS</t>
  </si>
  <si>
    <t>1003 - Interní auditor, Pověřenec GDPR</t>
  </si>
  <si>
    <t>AII6 - Cestovné</t>
  </si>
  <si>
    <t>AII 8 - Ostatní služby</t>
  </si>
  <si>
    <t>AII 8 Semináře, konference</t>
  </si>
  <si>
    <t>AII 8 - Konzultační služby</t>
  </si>
  <si>
    <t>AII 8 - Telefony</t>
  </si>
  <si>
    <t>AIII - Osobní náklady</t>
  </si>
  <si>
    <t>AX - Vnitro náklady</t>
  </si>
  <si>
    <t>1005 - Rektor</t>
  </si>
  <si>
    <t>AI1 - Materiál</t>
  </si>
  <si>
    <t>AI1 - Pohonné hmoty</t>
  </si>
  <si>
    <t>AII 5 - Opravy a udržování</t>
  </si>
  <si>
    <t>AII 7 - Náklady na reprezentaci</t>
  </si>
  <si>
    <t>AII 8 - IT služby, včetně SW</t>
  </si>
  <si>
    <t>AII 8 - Poštovné</t>
  </si>
  <si>
    <t>AII 8 - Reklama propagace</t>
  </si>
  <si>
    <t>AIV - Daně a poplatky</t>
  </si>
  <si>
    <t>AV - Ostatní náklady</t>
  </si>
  <si>
    <t>AVII - Poskytnuté členské příspěvky</t>
  </si>
  <si>
    <t>AV - Pojistné</t>
  </si>
  <si>
    <t>1010 - Sekretariát rektora</t>
  </si>
  <si>
    <t>Výdaje za období</t>
  </si>
  <si>
    <t>Příjmy</t>
  </si>
  <si>
    <t>Vnitropříjmy (transfery) - EVP (01VNP)</t>
  </si>
  <si>
    <t>Vnitropříjmy (transfery) - ÚŘAS (01VNP)</t>
  </si>
  <si>
    <t>Ostatní příjmy hlavní činnosti (zúčtování stipendií)</t>
  </si>
  <si>
    <t>Příjmy celkem</t>
  </si>
  <si>
    <t>Saldo</t>
  </si>
  <si>
    <t>AI1 - DDHM</t>
  </si>
  <si>
    <t>Ostatní příjmy</t>
  </si>
  <si>
    <t>1009 - Správa IT + 1206 Prorektor pro studium a informatiku</t>
  </si>
  <si>
    <t>PPSŘ (IT investice)</t>
  </si>
  <si>
    <t>Projekty PPSŘ (programátoři + materiál)</t>
  </si>
  <si>
    <t>PPSŘ - transfer kvestor</t>
  </si>
  <si>
    <t>Rozpočet</t>
  </si>
  <si>
    <t>1101 - Mimořádné výdaje</t>
  </si>
  <si>
    <t>AI1 - Knihovní fond</t>
  </si>
  <si>
    <t>AI2 - Energie</t>
  </si>
  <si>
    <t>AV - Stipendia</t>
  </si>
  <si>
    <t>AV - Patenty průmysl. a užitkové vzory</t>
  </si>
  <si>
    <t>1102 - rezerva</t>
  </si>
  <si>
    <t>Výdaje za období  (dle cílů) bez rezervy</t>
  </si>
  <si>
    <t>Rezerva (tranfer ÚŘAS)</t>
  </si>
  <si>
    <t>Poplatky související se studiem</t>
  </si>
  <si>
    <t>Projekty</t>
  </si>
  <si>
    <t>Zakázková činnost</t>
  </si>
  <si>
    <t>3209 - Výzkumné pracoviště ekonomiky a managementu přírodních věd</t>
  </si>
  <si>
    <t>Výdaje za období (dle cílů)</t>
  </si>
  <si>
    <t>Stipendijní fond</t>
  </si>
  <si>
    <t>Vnitropříjmy (transfery) - personální modul (01VNP)</t>
  </si>
  <si>
    <t>Vnitropříjmy (transfery) - rektor (01VNP)</t>
  </si>
  <si>
    <t>Vnitropříjmy (transfery) - TČ (01VNP)</t>
  </si>
  <si>
    <t>Vnitropříjmy (transfery) - ÚPS (01VNP)</t>
  </si>
  <si>
    <t>Nákladové středisko, položka</t>
  </si>
  <si>
    <t>Rozpočet celkem</t>
  </si>
  <si>
    <t>7001 + 7002 - CCV</t>
  </si>
  <si>
    <t>AV - Bankovní poplatky</t>
  </si>
  <si>
    <t>AV - Ostatní náklady (transfer)</t>
  </si>
  <si>
    <t>7004 - Ředitel ÚŘAS</t>
  </si>
  <si>
    <t>AII 6 - Cestovné</t>
  </si>
  <si>
    <t>7005 + 7006 - Studijní oddělení ÚŘAS + IPC</t>
  </si>
  <si>
    <t>7009 - Konfuciova třída</t>
  </si>
  <si>
    <t>AII7 - Náklady na reprezentaci</t>
  </si>
  <si>
    <t>7008 - Pedagogická a ediční činnost (transfer)</t>
  </si>
  <si>
    <t>Nezařazené transfery</t>
  </si>
  <si>
    <t>Mimořádné a rezeva</t>
  </si>
  <si>
    <t>Transfer VZEMPZ</t>
  </si>
  <si>
    <t>Transfer IT</t>
  </si>
  <si>
    <t>Transfer rektor a právní oddělení</t>
  </si>
  <si>
    <t>Transfer ÚVV</t>
  </si>
  <si>
    <t>Transfer marketing</t>
  </si>
  <si>
    <t>Transfer TČ</t>
  </si>
  <si>
    <t>Transfer kvestor</t>
  </si>
  <si>
    <t>Transfer Prorektor - statutární zástupce</t>
  </si>
  <si>
    <t>Transfer ústavy (časopis)</t>
  </si>
  <si>
    <t>Transfer ekonomický úsek</t>
  </si>
  <si>
    <t>Transfer COP</t>
  </si>
  <si>
    <t>Příspěvek A + K (01VNP)</t>
  </si>
  <si>
    <t>Vnitropříjmy (transfery) - ÚPS</t>
  </si>
  <si>
    <t>IPC</t>
  </si>
  <si>
    <t>CŽV</t>
  </si>
  <si>
    <t>Konfuciova třída</t>
  </si>
  <si>
    <t>Vnitropříjmy (transfery) (01VNP)</t>
  </si>
  <si>
    <t>Vnitropříjmy (transfery) - kvestor PPSŘ</t>
  </si>
  <si>
    <t>Vnitropříjmy (transfery) - kvestor ESF</t>
  </si>
  <si>
    <t>3201 - Prorektoři</t>
  </si>
  <si>
    <t>3203 - Tvůrčí činnost ústavy</t>
  </si>
  <si>
    <t>ÚTT</t>
  </si>
  <si>
    <t>ÚZO</t>
  </si>
  <si>
    <t>ÚPS</t>
  </si>
  <si>
    <t>VZEMPZ</t>
  </si>
  <si>
    <t>EVP</t>
  </si>
  <si>
    <t>3201 - RVO</t>
  </si>
  <si>
    <t>3207 - Specifický vysokoškolský výzkum</t>
  </si>
  <si>
    <t>8209 - Environmentální výzkumné pracoviště</t>
  </si>
  <si>
    <t>AVI - Odpisy, rezervy, opr. pol.</t>
  </si>
  <si>
    <t>AX - Vnitro náklady - transfer rektor</t>
  </si>
  <si>
    <t>Vnitropříjmy (transfery) - Kvestor (SVV+RVO)</t>
  </si>
  <si>
    <t>1205 - Prorektor</t>
  </si>
  <si>
    <t>1008 - Orgány VŠTE</t>
  </si>
  <si>
    <t>2222 - Personální modul</t>
  </si>
  <si>
    <t>AX - Vnitro náklady (transfer)</t>
  </si>
  <si>
    <t>3301 - Marketingové oddělení +3304 Ředitel ÚVV</t>
  </si>
  <si>
    <t>3302 - Marketing</t>
  </si>
  <si>
    <t>3303 - Oddělení zahraničních vztahů (+ 1212 - OZV)</t>
  </si>
  <si>
    <t>Ukazatel D</t>
  </si>
  <si>
    <t>AV - Stipendia (na mobility studentů)</t>
  </si>
  <si>
    <t>Mobilitní programy</t>
  </si>
  <si>
    <t>AV - Stipendia (z grantu)</t>
  </si>
  <si>
    <t>Vnitropříjmy (transfery) - ÚŘAS (správa) (01VNP)</t>
  </si>
  <si>
    <t>Vnitropříjmy (transfery) - ÚŘAS (marketing) (01VNP)</t>
  </si>
  <si>
    <t>Vnitropříjmy (transfery) - Kvestor (PPSŘ)</t>
  </si>
  <si>
    <t>A + K - pobyty studentů (ukazatel D - FÚUP)</t>
  </si>
  <si>
    <t>Samoplátci</t>
  </si>
  <si>
    <t>Erasmus</t>
  </si>
  <si>
    <t>Ostatní příjmy - pobyty studentů</t>
  </si>
  <si>
    <t>1401 - Ekonomický úsek</t>
  </si>
  <si>
    <t>Bankovní poplatky rozpočtovány na NS 2099</t>
  </si>
  <si>
    <t>Navýšení rozpočtu dle dohody</t>
  </si>
  <si>
    <t>1402 - Kolej</t>
  </si>
  <si>
    <t>AII8 - IT služby, včetně SW</t>
  </si>
  <si>
    <t>Kolej</t>
  </si>
  <si>
    <t>2011 - Knihovna</t>
  </si>
  <si>
    <t>2105 Menza + 2107 studentský klub</t>
  </si>
  <si>
    <t>2099 - Kvestor ostatní</t>
  </si>
  <si>
    <t>2002 + 2102 + 2018 - Správa majetku</t>
  </si>
  <si>
    <t>AX - Vnitro náklady - transfer DDHM</t>
  </si>
  <si>
    <t>2007 - Kvestor</t>
  </si>
  <si>
    <t>2300 - Hospodářsko-provozní úsek</t>
  </si>
  <si>
    <t>Transfer ESF</t>
  </si>
  <si>
    <t>Transfer SVV + RVO</t>
  </si>
  <si>
    <t>Transfer PPSŘ na ústavy + Prorektorka, IT, ÚVV, ÚŘAS</t>
  </si>
  <si>
    <t>2017 - Celoškolské projekty</t>
  </si>
  <si>
    <t>Transfery</t>
  </si>
  <si>
    <t>Sport VŠTE</t>
  </si>
  <si>
    <t>CRP</t>
  </si>
  <si>
    <t>PPSŘ - transfer IT</t>
  </si>
  <si>
    <t>PPSŘ</t>
  </si>
  <si>
    <t>Projekty + RVO</t>
  </si>
  <si>
    <t>Menza hlavní činnost</t>
  </si>
  <si>
    <t>Fond reprodukce majetku</t>
  </si>
  <si>
    <t>Knihovna</t>
  </si>
  <si>
    <t>Menza doplňková činnost</t>
  </si>
  <si>
    <t>Pronájem prostor a vybavení školy</t>
  </si>
  <si>
    <t>1302 - COP</t>
  </si>
  <si>
    <t>Vnitropříjmy (transfery) - Kvestor</t>
  </si>
  <si>
    <t>1011 - Právní oddělení</t>
  </si>
  <si>
    <t>Celkem</t>
  </si>
  <si>
    <t>Investiční akce</t>
  </si>
  <si>
    <t>2016 - Oddělení projektových prací (Projekty)</t>
  </si>
  <si>
    <t>2016 - Oddělení projektových prací (01VNP001)</t>
  </si>
  <si>
    <t>AX - Vnitro náklady (VPEMPZ)</t>
  </si>
  <si>
    <t>1012 - NPO</t>
  </si>
  <si>
    <t>8101 - Ředitel ústavu</t>
  </si>
  <si>
    <t>8102 - Správa ústavu</t>
  </si>
  <si>
    <t>AII 8 - Ostatní služby (personální modul)</t>
  </si>
  <si>
    <t>AV - Stipendia (PVS)</t>
  </si>
  <si>
    <t>8103 + 81031 + 81032 - Katedra managementu</t>
  </si>
  <si>
    <t>8104 + 81041 - Katedra řízení lidských zdrojů</t>
  </si>
  <si>
    <t>8105 + 81051 +81052 - Katedra cestovního ruchu a marketingu</t>
  </si>
  <si>
    <t>8106 - Centrum jazykových služeb</t>
  </si>
  <si>
    <t>AIII - Ostatní náklady</t>
  </si>
  <si>
    <t>8181 - Časopis</t>
  </si>
  <si>
    <t>8191 - Odd. zástupce ředitele pro PČ</t>
  </si>
  <si>
    <t>8192 - Odd. zástupce ředitele pro TČ</t>
  </si>
  <si>
    <t>Vnitropříjmy (transfery) - ÚŘAS (fixní) (01VNP)</t>
  </si>
  <si>
    <t>Vnitropříjmy (transfery) - ÚŘAS (výkonová) (01VNP)</t>
  </si>
  <si>
    <t>Vnitropříjmy (transfery) - CŽV</t>
  </si>
  <si>
    <t>Vnitropříjmy (transfery) - TČ (RVO)</t>
  </si>
  <si>
    <t>Vnitropříjmy (transfery) - kvestor (01VNP)</t>
  </si>
  <si>
    <t>FPP</t>
  </si>
  <si>
    <t>Časopis (01VNP)</t>
  </si>
  <si>
    <t>Stipendijní fond (výpomoc na obnovu ústavu)</t>
  </si>
  <si>
    <t>Vnitropříjmy (transfery) - Rezerva</t>
  </si>
  <si>
    <t>Vnitropříjmy (transfery) - Personální modul (01VNP)</t>
  </si>
  <si>
    <t>8201 - Ředitel ústavu</t>
  </si>
  <si>
    <t>8202 - Správa ústavu</t>
  </si>
  <si>
    <t>8203 - Katedra dopravy a logistiky</t>
  </si>
  <si>
    <t>8204 - Katedra stavebnictví</t>
  </si>
  <si>
    <t>8205 - Katedra strojírenství</t>
  </si>
  <si>
    <t>8206 - Katedra informatiky a přírodních věd</t>
  </si>
  <si>
    <t>8281 - Časopis</t>
  </si>
  <si>
    <t>8291 - Odd. zástupce ředitele pro PČ</t>
  </si>
  <si>
    <t>8292 - Odd. zástupce ředitele pro TČ</t>
  </si>
  <si>
    <t>Kvestor - odpisy</t>
  </si>
  <si>
    <t>Vnitropříjmy (transfery) - ÚTT</t>
  </si>
  <si>
    <t>Vnitropříjmy (transfery) - ÚVV</t>
  </si>
  <si>
    <t>Výzkumné projekty</t>
  </si>
  <si>
    <t>Rozvojové projekty</t>
  </si>
  <si>
    <t>Vnitropříjmy (transfery) - energetičtí specialisté</t>
  </si>
  <si>
    <t>Konferenční poplatky</t>
  </si>
  <si>
    <t>8301 - Ředitel ústavu</t>
  </si>
  <si>
    <t>8302 - Správa ústavu</t>
  </si>
  <si>
    <t>8303 - Odborné pracoviště ústavu znalectví a oceňování</t>
  </si>
  <si>
    <t>8304 - Oddělení znalecké činnosti</t>
  </si>
  <si>
    <t>8305 - Oddělení znalecké činnosti II.</t>
  </si>
  <si>
    <t>8306 - Oddělení právních věd</t>
  </si>
  <si>
    <t>8381 - Časopis</t>
  </si>
  <si>
    <t>8391 - Odd. zástupce ředitele pro PČ</t>
  </si>
  <si>
    <t>8392 + 83921 + 83922 + 83923 + 83924 - Odd. zástupce ředitele pro TČ</t>
  </si>
  <si>
    <t>AII 8 IT služby, včetně SW</t>
  </si>
  <si>
    <t xml:space="preserve">Vnitropříjmy (transfery) - CŽV </t>
  </si>
  <si>
    <t>Vnitropříjmy (transfery) - ÚVV (01VNP)</t>
  </si>
  <si>
    <t>Vnitropříjmy (transfery) - ÚZO (01VNP)</t>
  </si>
  <si>
    <t>Konsolidovaný rozpočet</t>
  </si>
  <si>
    <t>Výdaje</t>
  </si>
  <si>
    <t>Rezerva</t>
  </si>
  <si>
    <t>VÝDAJE CELKEM</t>
  </si>
  <si>
    <t>Rozpočet ostatní</t>
  </si>
  <si>
    <t>UPS</t>
  </si>
  <si>
    <t>UTT</t>
  </si>
  <si>
    <t>UZO</t>
  </si>
  <si>
    <t>PŘÍJMY CELKEM</t>
  </si>
  <si>
    <t>BI 1 - Tržby za výrobky</t>
  </si>
  <si>
    <t>Menza HČ</t>
  </si>
  <si>
    <t>Menza DČ</t>
  </si>
  <si>
    <t>BI 2 - Tržby z prodeje služeb</t>
  </si>
  <si>
    <t>ČŽV kurzy</t>
  </si>
  <si>
    <t>Ostatní příjmy DČ</t>
  </si>
  <si>
    <t>Konference</t>
  </si>
  <si>
    <t>BI 3 - Tržby za prodané zboží</t>
  </si>
  <si>
    <t>BVI - Ostatní výnosy</t>
  </si>
  <si>
    <t>Stipendijní fond - minulé obodobí</t>
  </si>
  <si>
    <t>Stipendijní fond - tvorba</t>
  </si>
  <si>
    <t>Čerpání FPP (jednorázová dotace)</t>
  </si>
  <si>
    <t>Čerpání SF</t>
  </si>
  <si>
    <t>BVII - Příspěvky dotace</t>
  </si>
  <si>
    <t>AV - Stipendia (z grantu, na mob. stud.)</t>
  </si>
  <si>
    <t>Erasmy</t>
  </si>
  <si>
    <t>Ztráta ústavy</t>
  </si>
  <si>
    <t>Očekávané příjmy ústavů</t>
  </si>
  <si>
    <t>Příspěvek pobyty studentů (ukazatel D - FÚUP)</t>
  </si>
  <si>
    <t>Investiční prostředky PPSŘ a provoz</t>
  </si>
  <si>
    <t>Investiční prostředky PPSŘ + Ostatní</t>
  </si>
  <si>
    <t>Celkem
2023</t>
  </si>
  <si>
    <t>Celkem
2024</t>
  </si>
  <si>
    <t>Celkem
2025</t>
  </si>
  <si>
    <t>Střednědobý výhled</t>
  </si>
  <si>
    <t>Rozpočet
2023</t>
  </si>
  <si>
    <t>Rozpočet
2024</t>
  </si>
  <si>
    <t>Rozpočet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</si>
</sst>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Kč&quot;;\-#,##0.0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8"/>
      <color rgb="FFFF505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5050"/>
      <name val="Calibri"/>
      <family val="2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rgb="FFFF0000"/>
      <name val="Calibri"/>
      <family val="2"/>
      <scheme val="minor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221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164" fontId="3" fillId="3" borderId="8" xfId="0" applyNumberFormat="1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top"/>
    </xf>
    <xf numFmtId="164" fontId="5" fillId="0" borderId="10" xfId="0" applyNumberFormat="1" applyFont="1" applyBorder="1" applyAlignment="1">
      <alignment horizontal="right" vertical="top"/>
    </xf>
    <xf numFmtId="0" fontId="4" fillId="4" borderId="9" xfId="0" applyFont="1" applyFill="1" applyBorder="1" applyAlignment="1">
      <alignment horizontal="left" vertical="top"/>
    </xf>
    <xf numFmtId="164" fontId="5" fillId="4" borderId="10" xfId="0" applyNumberFormat="1" applyFont="1" applyFill="1" applyBorder="1" applyAlignment="1">
      <alignment horizontal="right" vertical="top"/>
    </xf>
    <xf numFmtId="0" fontId="4" fillId="0" borderId="3" xfId="0" applyFont="1" applyBorder="1" applyAlignment="1">
      <alignment horizontal="left" vertical="top"/>
    </xf>
    <xf numFmtId="164" fontId="5" fillId="0" borderId="4" xfId="0" applyNumberFormat="1" applyFont="1" applyBorder="1" applyAlignment="1">
      <alignment horizontal="right" vertical="top"/>
    </xf>
    <xf numFmtId="164" fontId="0" fillId="0" borderId="0" xfId="0" applyNumberFormat="1"/>
    <xf numFmtId="0" fontId="5" fillId="0" borderId="0" xfId="0" applyFont="1"/>
    <xf numFmtId="0" fontId="6" fillId="0" borderId="9" xfId="0" applyFont="1" applyBorder="1" applyAlignment="1">
      <alignment horizontal="left" vertical="top"/>
    </xf>
    <xf numFmtId="0" fontId="2" fillId="3" borderId="7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164" fontId="5" fillId="5" borderId="13" xfId="0" applyNumberFormat="1" applyFont="1" applyFill="1" applyBorder="1"/>
    <xf numFmtId="0" fontId="2" fillId="6" borderId="15" xfId="0" applyFont="1" applyFill="1" applyBorder="1" applyAlignment="1">
      <alignment horizontal="left" vertical="center" wrapText="1"/>
    </xf>
    <xf numFmtId="164" fontId="3" fillId="6" borderId="14" xfId="0" applyNumberFormat="1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left" vertical="center" wrapText="1"/>
    </xf>
    <xf numFmtId="164" fontId="3" fillId="5" borderId="13" xfId="0" applyNumberFormat="1" applyFont="1" applyFill="1" applyBorder="1"/>
    <xf numFmtId="0" fontId="2" fillId="7" borderId="16" xfId="0" applyFont="1" applyFill="1" applyBorder="1" applyAlignment="1">
      <alignment horizontal="left" vertical="center" wrapText="1"/>
    </xf>
    <xf numFmtId="164" fontId="3" fillId="7" borderId="17" xfId="0" applyNumberFormat="1" applyFont="1" applyFill="1" applyBorder="1" applyAlignment="1">
      <alignment horizontal="right" vertical="center" wrapText="1"/>
    </xf>
    <xf numFmtId="0" fontId="6" fillId="0" borderId="18" xfId="0" applyFont="1" applyBorder="1" applyAlignment="1">
      <alignment horizontal="left" vertical="top"/>
    </xf>
    <xf numFmtId="0" fontId="6" fillId="8" borderId="9" xfId="0" applyFont="1" applyFill="1" applyBorder="1" applyAlignment="1">
      <alignment horizontal="left" vertical="top"/>
    </xf>
    <xf numFmtId="165" fontId="1" fillId="0" borderId="0" xfId="0" applyNumberFormat="1" applyFont="1"/>
    <xf numFmtId="0" fontId="4" fillId="0" borderId="18" xfId="0" applyFont="1" applyBorder="1" applyAlignment="1">
      <alignment horizontal="left" vertical="top"/>
    </xf>
    <xf numFmtId="164" fontId="5" fillId="0" borderId="19" xfId="0" applyNumberFormat="1" applyFont="1" applyBorder="1"/>
    <xf numFmtId="164" fontId="5" fillId="0" borderId="10" xfId="0" applyNumberFormat="1" applyFont="1" applyBorder="1"/>
    <xf numFmtId="165" fontId="0" fillId="0" borderId="0" xfId="0" applyNumberFormat="1"/>
    <xf numFmtId="164" fontId="5" fillId="4" borderId="10" xfId="0" applyNumberFormat="1" applyFont="1" applyFill="1" applyBorder="1"/>
    <xf numFmtId="165" fontId="9" fillId="0" borderId="0" xfId="0" applyNumberFormat="1" applyFont="1"/>
    <xf numFmtId="164" fontId="10" fillId="0" borderId="4" xfId="0" applyNumberFormat="1" applyFont="1" applyBorder="1" applyAlignment="1">
      <alignment horizontal="right" vertical="top"/>
    </xf>
    <xf numFmtId="0" fontId="2" fillId="9" borderId="20" xfId="0" applyFont="1" applyFill="1" applyBorder="1" applyAlignment="1">
      <alignment horizontal="left" vertical="center" wrapText="1"/>
    </xf>
    <xf numFmtId="164" fontId="3" fillId="9" borderId="8" xfId="0" applyNumberFormat="1" applyFont="1" applyFill="1" applyBorder="1" applyAlignment="1">
      <alignment horizontal="right" vertical="center" wrapText="1"/>
    </xf>
    <xf numFmtId="0" fontId="2" fillId="10" borderId="6" xfId="0" applyFont="1" applyFill="1" applyBorder="1" applyAlignment="1">
      <alignment horizontal="left" vertical="center" wrapText="1"/>
    </xf>
    <xf numFmtId="164" fontId="3" fillId="10" borderId="6" xfId="0" applyNumberFormat="1" applyFont="1" applyFill="1" applyBorder="1" applyAlignment="1">
      <alignment horizontal="right" vertical="center" wrapText="1"/>
    </xf>
    <xf numFmtId="164" fontId="11" fillId="0" borderId="21" xfId="0" applyNumberFormat="1" applyFont="1" applyBorder="1" applyAlignment="1">
      <alignment horizontal="right" vertical="top"/>
    </xf>
    <xf numFmtId="0" fontId="2" fillId="11" borderId="7" xfId="0" applyFont="1" applyFill="1" applyBorder="1" applyAlignment="1">
      <alignment horizontal="left" vertical="center" wrapText="1"/>
    </xf>
    <xf numFmtId="8" fontId="12" fillId="11" borderId="13" xfId="0" applyNumberFormat="1" applyFont="1" applyFill="1" applyBorder="1"/>
    <xf numFmtId="0" fontId="0" fillId="0" borderId="7" xfId="0" applyBorder="1"/>
    <xf numFmtId="0" fontId="0" fillId="0" borderId="8" xfId="0" applyBorder="1"/>
    <xf numFmtId="0" fontId="2" fillId="6" borderId="7" xfId="0" applyFont="1" applyFill="1" applyBorder="1" applyAlignment="1">
      <alignment horizontal="left" vertical="center" wrapText="1"/>
    </xf>
    <xf numFmtId="164" fontId="3" fillId="6" borderId="22" xfId="0" applyNumberFormat="1" applyFont="1" applyFill="1" applyBorder="1" applyAlignment="1">
      <alignment horizontal="right" vertical="center" wrapText="1"/>
    </xf>
    <xf numFmtId="0" fontId="0" fillId="0" borderId="23" xfId="0" applyBorder="1"/>
    <xf numFmtId="164" fontId="3" fillId="6" borderId="8" xfId="0" applyNumberFormat="1" applyFont="1" applyFill="1" applyBorder="1" applyAlignment="1">
      <alignment horizontal="right" vertical="center" wrapText="1"/>
    </xf>
    <xf numFmtId="0" fontId="2" fillId="7" borderId="24" xfId="0" applyFont="1" applyFill="1" applyBorder="1" applyAlignment="1">
      <alignment vertical="center" wrapText="1"/>
    </xf>
    <xf numFmtId="0" fontId="2" fillId="7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horizontal="left" vertical="center" wrapText="1" shrinkToFit="1"/>
    </xf>
    <xf numFmtId="164" fontId="3" fillId="2" borderId="8" xfId="0" applyNumberFormat="1" applyFont="1" applyFill="1" applyBorder="1" applyAlignment="1">
      <alignment horizontal="right" vertical="center" wrapText="1" shrinkToFit="1"/>
    </xf>
    <xf numFmtId="0" fontId="4" fillId="0" borderId="27" xfId="0" applyFont="1" applyBorder="1" applyAlignment="1">
      <alignment horizontal="left" vertical="top"/>
    </xf>
    <xf numFmtId="0" fontId="2" fillId="5" borderId="15" xfId="0" applyFont="1" applyFill="1" applyBorder="1" applyAlignment="1">
      <alignment horizontal="left" vertical="center" wrapText="1"/>
    </xf>
    <xf numFmtId="164" fontId="3" fillId="5" borderId="14" xfId="0" applyNumberFormat="1" applyFont="1" applyFill="1" applyBorder="1" applyAlignment="1">
      <alignment horizontal="right" vertical="center" wrapText="1"/>
    </xf>
    <xf numFmtId="164" fontId="3" fillId="5" borderId="8" xfId="0" applyNumberFormat="1" applyFont="1" applyFill="1" applyBorder="1" applyAlignment="1">
      <alignment horizontal="right" vertical="center" wrapText="1"/>
    </xf>
    <xf numFmtId="0" fontId="2" fillId="7" borderId="5" xfId="0" applyFont="1" applyFill="1" applyBorder="1" applyAlignment="1">
      <alignment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15" fillId="0" borderId="0" xfId="1"/>
    <xf numFmtId="0" fontId="2" fillId="12" borderId="26" xfId="0" applyFont="1" applyFill="1" applyBorder="1" applyAlignment="1">
      <alignment horizontal="left" vertical="center" wrapText="1" shrinkToFit="1"/>
    </xf>
    <xf numFmtId="164" fontId="3" fillId="12" borderId="8" xfId="0" applyNumberFormat="1" applyFont="1" applyFill="1" applyBorder="1" applyAlignment="1">
      <alignment horizontal="right" vertical="center" wrapText="1" shrinkToFit="1"/>
    </xf>
    <xf numFmtId="164" fontId="16" fillId="0" borderId="0" xfId="1" applyNumberFormat="1" applyFont="1"/>
    <xf numFmtId="164" fontId="17" fillId="0" borderId="0" xfId="1" applyNumberFormat="1" applyFont="1"/>
    <xf numFmtId="164" fontId="15" fillId="0" borderId="0" xfId="1" applyNumberFormat="1"/>
    <xf numFmtId="0" fontId="18" fillId="2" borderId="7" xfId="0" applyFont="1" applyFill="1" applyBorder="1" applyAlignment="1">
      <alignment horizontal="left" vertical="center"/>
    </xf>
    <xf numFmtId="164" fontId="19" fillId="2" borderId="8" xfId="0" applyNumberFormat="1" applyFont="1" applyFill="1" applyBorder="1" applyAlignment="1">
      <alignment horizontal="right" vertical="center" wrapText="1"/>
    </xf>
    <xf numFmtId="7" fontId="12" fillId="0" borderId="10" xfId="0" applyNumberFormat="1" applyFont="1" applyBorder="1" applyAlignment="1">
      <alignment horizontal="right" vertical="top"/>
    </xf>
    <xf numFmtId="7" fontId="15" fillId="0" borderId="0" xfId="1" applyNumberFormat="1"/>
    <xf numFmtId="7" fontId="12" fillId="4" borderId="10" xfId="0" applyNumberFormat="1" applyFont="1" applyFill="1" applyBorder="1" applyAlignment="1">
      <alignment horizontal="right" vertical="top"/>
    </xf>
    <xf numFmtId="0" fontId="2" fillId="5" borderId="3" xfId="0" applyFont="1" applyFill="1" applyBorder="1" applyAlignment="1">
      <alignment horizontal="left" vertical="center" wrapText="1"/>
    </xf>
    <xf numFmtId="164" fontId="3" fillId="5" borderId="6" xfId="0" applyNumberFormat="1" applyFont="1" applyFill="1" applyBorder="1" applyAlignment="1">
      <alignment horizontal="right" vertical="center" wrapText="1"/>
    </xf>
    <xf numFmtId="8" fontId="3" fillId="5" borderId="8" xfId="0" applyNumberFormat="1" applyFont="1" applyFill="1" applyBorder="1"/>
    <xf numFmtId="0" fontId="2" fillId="7" borderId="7" xfId="0" applyFont="1" applyFill="1" applyBorder="1" applyAlignment="1">
      <alignment horizontal="left" vertical="center" wrapText="1"/>
    </xf>
    <xf numFmtId="164" fontId="3" fillId="7" borderId="8" xfId="0" applyNumberFormat="1" applyFont="1" applyFill="1" applyBorder="1" applyAlignment="1">
      <alignment horizontal="right" vertical="center" wrapText="1"/>
    </xf>
    <xf numFmtId="0" fontId="0" fillId="0" borderId="27" xfId="0" applyBorder="1"/>
    <xf numFmtId="0" fontId="0" fillId="0" borderId="11" xfId="0" applyBorder="1"/>
    <xf numFmtId="0" fontId="2" fillId="2" borderId="7" xfId="0" applyFont="1" applyFill="1" applyBorder="1" applyAlignment="1">
      <alignment horizontal="left" vertical="center" wrapText="1" shrinkToFit="1"/>
    </xf>
    <xf numFmtId="164" fontId="5" fillId="0" borderId="28" xfId="0" applyNumberFormat="1" applyFont="1" applyBorder="1" applyAlignment="1">
      <alignment horizontal="right" vertical="top"/>
    </xf>
    <xf numFmtId="0" fontId="4" fillId="0" borderId="29" xfId="0" applyFont="1" applyBorder="1" applyAlignment="1">
      <alignment horizontal="left" vertical="top"/>
    </xf>
    <xf numFmtId="164" fontId="5" fillId="0" borderId="21" xfId="0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164" fontId="3" fillId="6" borderId="20" xfId="0" applyNumberFormat="1" applyFont="1" applyFill="1" applyBorder="1" applyAlignment="1">
      <alignment horizontal="right" vertical="center" wrapText="1"/>
    </xf>
    <xf numFmtId="164" fontId="3" fillId="5" borderId="8" xfId="0" applyNumberFormat="1" applyFont="1" applyFill="1" applyBorder="1"/>
    <xf numFmtId="0" fontId="20" fillId="0" borderId="0" xfId="1" applyFont="1"/>
    <xf numFmtId="0" fontId="4" fillId="0" borderId="12" xfId="0" applyFont="1" applyBorder="1" applyAlignment="1">
      <alignment horizontal="left" vertical="top"/>
    </xf>
    <xf numFmtId="0" fontId="16" fillId="0" borderId="0" xfId="1" applyFont="1"/>
    <xf numFmtId="164" fontId="5" fillId="0" borderId="31" xfId="0" applyNumberFormat="1" applyFont="1" applyBorder="1" applyAlignment="1">
      <alignment horizontal="right" vertical="top"/>
    </xf>
    <xf numFmtId="164" fontId="5" fillId="0" borderId="19" xfId="0" applyNumberFormat="1" applyFont="1" applyBorder="1" applyAlignment="1">
      <alignment horizontal="right" vertical="top"/>
    </xf>
    <xf numFmtId="164" fontId="21" fillId="0" borderId="0" xfId="1" applyNumberFormat="1" applyFont="1"/>
    <xf numFmtId="0" fontId="2" fillId="6" borderId="14" xfId="0" applyFont="1" applyFill="1" applyBorder="1" applyAlignment="1">
      <alignment horizontal="left" vertical="center" wrapText="1"/>
    </xf>
    <xf numFmtId="0" fontId="2" fillId="6" borderId="20" xfId="0" applyFont="1" applyFill="1" applyBorder="1" applyAlignment="1">
      <alignment horizontal="left" vertical="center" wrapText="1"/>
    </xf>
    <xf numFmtId="0" fontId="2" fillId="7" borderId="32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top"/>
    </xf>
    <xf numFmtId="0" fontId="4" fillId="4" borderId="10" xfId="0" applyFont="1" applyFill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8" xfId="0" applyFont="1" applyBorder="1" applyAlignment="1">
      <alignment horizontal="left" vertical="top"/>
    </xf>
    <xf numFmtId="0" fontId="2" fillId="3" borderId="8" xfId="0" applyFont="1" applyFill="1" applyBorder="1" applyAlignment="1">
      <alignment horizontal="left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7" borderId="17" xfId="0" applyFont="1" applyFill="1" applyBorder="1" applyAlignment="1">
      <alignment horizontal="left" vertical="center" wrapText="1"/>
    </xf>
    <xf numFmtId="164" fontId="5" fillId="0" borderId="23" xfId="0" applyNumberFormat="1" applyFont="1" applyBorder="1"/>
    <xf numFmtId="0" fontId="4" fillId="0" borderId="33" xfId="0" applyFont="1" applyBorder="1" applyAlignment="1">
      <alignment horizontal="left" vertical="top"/>
    </xf>
    <xf numFmtId="164" fontId="5" fillId="0" borderId="31" xfId="0" applyNumberFormat="1" applyFont="1" applyBorder="1"/>
    <xf numFmtId="0" fontId="4" fillId="0" borderId="34" xfId="0" applyFont="1" applyBorder="1" applyAlignment="1">
      <alignment horizontal="left" vertical="top"/>
    </xf>
    <xf numFmtId="164" fontId="5" fillId="0" borderId="28" xfId="0" applyNumberFormat="1" applyFont="1" applyBorder="1"/>
    <xf numFmtId="0" fontId="2" fillId="10" borderId="8" xfId="0" applyFont="1" applyFill="1" applyBorder="1" applyAlignment="1">
      <alignment horizontal="left" vertical="center" wrapText="1"/>
    </xf>
    <xf numFmtId="164" fontId="3" fillId="10" borderId="8" xfId="0" applyNumberFormat="1" applyFont="1" applyFill="1" applyBorder="1" applyAlignment="1">
      <alignment horizontal="right" vertical="center" wrapText="1"/>
    </xf>
    <xf numFmtId="164" fontId="5" fillId="0" borderId="0" xfId="0" applyNumberFormat="1" applyFont="1"/>
    <xf numFmtId="164" fontId="5" fillId="4" borderId="28" xfId="0" applyNumberFormat="1" applyFont="1" applyFill="1" applyBorder="1"/>
    <xf numFmtId="164" fontId="5" fillId="0" borderId="4" xfId="0" applyNumberFormat="1" applyFont="1" applyBorder="1"/>
    <xf numFmtId="0" fontId="2" fillId="7" borderId="7" xfId="0" applyFont="1" applyFill="1" applyBorder="1" applyAlignment="1">
      <alignment vertical="center"/>
    </xf>
    <xf numFmtId="0" fontId="2" fillId="7" borderId="8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horizontal="left" vertical="center"/>
    </xf>
    <xf numFmtId="164" fontId="19" fillId="2" borderId="6" xfId="0" applyNumberFormat="1" applyFont="1" applyFill="1" applyBorder="1" applyAlignment="1">
      <alignment horizontal="right" vertical="center" wrapText="1"/>
    </xf>
    <xf numFmtId="0" fontId="22" fillId="0" borderId="18" xfId="0" applyFont="1" applyBorder="1" applyAlignment="1">
      <alignment horizontal="left" vertical="top"/>
    </xf>
    <xf numFmtId="8" fontId="12" fillId="0" borderId="10" xfId="0" applyNumberFormat="1" applyFont="1" applyBorder="1" applyAlignment="1">
      <alignment horizontal="right" vertical="top"/>
    </xf>
    <xf numFmtId="0" fontId="22" fillId="0" borderId="9" xfId="0" applyFont="1" applyBorder="1" applyAlignment="1">
      <alignment horizontal="left" vertical="top"/>
    </xf>
    <xf numFmtId="0" fontId="22" fillId="4" borderId="9" xfId="0" applyFont="1" applyFill="1" applyBorder="1" applyAlignment="1">
      <alignment horizontal="left" vertical="top"/>
    </xf>
    <xf numFmtId="8" fontId="12" fillId="4" borderId="10" xfId="0" applyNumberFormat="1" applyFont="1" applyFill="1" applyBorder="1" applyAlignment="1">
      <alignment horizontal="right" vertical="top"/>
    </xf>
    <xf numFmtId="0" fontId="22" fillId="0" borderId="3" xfId="0" applyFont="1" applyBorder="1" applyAlignment="1">
      <alignment horizontal="left" vertical="top"/>
    </xf>
    <xf numFmtId="44" fontId="12" fillId="0" borderId="4" xfId="0" applyNumberFormat="1" applyFont="1" applyBorder="1" applyAlignment="1">
      <alignment horizontal="right" vertical="top"/>
    </xf>
    <xf numFmtId="44" fontId="12" fillId="4" borderId="10" xfId="0" applyNumberFormat="1" applyFont="1" applyFill="1" applyBorder="1" applyAlignment="1">
      <alignment vertical="top"/>
    </xf>
    <xf numFmtId="44" fontId="12" fillId="0" borderId="10" xfId="0" applyNumberFormat="1" applyFont="1" applyBorder="1" applyAlignment="1">
      <alignment vertical="top"/>
    </xf>
    <xf numFmtId="164" fontId="19" fillId="2" borderId="8" xfId="0" applyNumberFormat="1" applyFont="1" applyFill="1" applyBorder="1" applyAlignment="1">
      <alignment vertical="center" wrapText="1"/>
    </xf>
    <xf numFmtId="8" fontId="12" fillId="4" borderId="10" xfId="0" applyNumberFormat="1" applyFont="1" applyFill="1" applyBorder="1" applyAlignment="1">
      <alignment vertical="top"/>
    </xf>
    <xf numFmtId="0" fontId="18" fillId="2" borderId="7" xfId="0" applyFont="1" applyFill="1" applyBorder="1" applyAlignment="1">
      <alignment horizontal="left" vertical="center" wrapText="1"/>
    </xf>
    <xf numFmtId="44" fontId="12" fillId="0" borderId="4" xfId="0" applyNumberFormat="1" applyFont="1" applyBorder="1" applyAlignment="1">
      <alignment vertical="top"/>
    </xf>
    <xf numFmtId="164" fontId="3" fillId="5" borderId="20" xfId="0" applyNumberFormat="1" applyFont="1" applyFill="1" applyBorder="1" applyAlignment="1">
      <alignment horizontal="right" vertical="center" wrapText="1"/>
    </xf>
    <xf numFmtId="0" fontId="1" fillId="0" borderId="0" xfId="0" applyFont="1"/>
    <xf numFmtId="164" fontId="12" fillId="0" borderId="10" xfId="0" applyNumberFormat="1" applyFont="1" applyBorder="1" applyAlignment="1">
      <alignment horizontal="right" vertical="top"/>
    </xf>
    <xf numFmtId="164" fontId="12" fillId="4" borderId="10" xfId="0" applyNumberFormat="1" applyFont="1" applyFill="1" applyBorder="1" applyAlignment="1">
      <alignment horizontal="right" vertical="top"/>
    </xf>
    <xf numFmtId="164" fontId="5" fillId="0" borderId="6" xfId="0" applyNumberFormat="1" applyFont="1" applyBorder="1" applyAlignment="1">
      <alignment horizontal="left" vertical="top"/>
    </xf>
    <xf numFmtId="164" fontId="12" fillId="0" borderId="10" xfId="0" applyNumberFormat="1" applyFont="1" applyBorder="1" applyAlignment="1">
      <alignment vertical="top"/>
    </xf>
    <xf numFmtId="164" fontId="5" fillId="0" borderId="4" xfId="0" applyNumberFormat="1" applyFont="1" applyBorder="1" applyAlignment="1">
      <alignment horizontal="left" vertical="top"/>
    </xf>
    <xf numFmtId="10" fontId="0" fillId="0" borderId="0" xfId="0" applyNumberFormat="1"/>
    <xf numFmtId="164" fontId="12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left" vertical="top"/>
    </xf>
    <xf numFmtId="44" fontId="12" fillId="0" borderId="6" xfId="0" applyNumberFormat="1" applyFont="1" applyBorder="1" applyAlignment="1">
      <alignment horizontal="right" vertical="top"/>
    </xf>
    <xf numFmtId="0" fontId="4" fillId="0" borderId="35" xfId="0" applyFont="1" applyBorder="1" applyAlignment="1">
      <alignment horizontal="left" vertical="top"/>
    </xf>
    <xf numFmtId="164" fontId="5" fillId="0" borderId="23" xfId="0" applyNumberFormat="1" applyFont="1" applyBorder="1" applyAlignment="1">
      <alignment horizontal="right" vertical="top"/>
    </xf>
    <xf numFmtId="164" fontId="3" fillId="6" borderId="6" xfId="0" applyNumberFormat="1" applyFont="1" applyFill="1" applyBorder="1" applyAlignment="1">
      <alignment horizontal="right" vertical="center" wrapText="1"/>
    </xf>
    <xf numFmtId="0" fontId="2" fillId="14" borderId="19" xfId="0" applyFont="1" applyFill="1" applyBorder="1" applyAlignment="1" applyProtection="1">
      <alignment horizontal="left" vertical="top" indent="1"/>
      <protection locked="0"/>
    </xf>
    <xf numFmtId="165" fontId="2" fillId="14" borderId="36" xfId="0" applyNumberFormat="1" applyFont="1" applyFill="1" applyBorder="1" applyAlignment="1" applyProtection="1">
      <alignment horizontal="right" vertical="top" indent="1"/>
      <protection locked="0"/>
    </xf>
    <xf numFmtId="0" fontId="2" fillId="6" borderId="10" xfId="0" applyFont="1" applyFill="1" applyBorder="1" applyAlignment="1" applyProtection="1">
      <alignment horizontal="left" vertical="top" indent="1"/>
      <protection locked="0"/>
    </xf>
    <xf numFmtId="165" fontId="2" fillId="6" borderId="37" xfId="0" applyNumberFormat="1" applyFont="1" applyFill="1" applyBorder="1" applyAlignment="1" applyProtection="1">
      <alignment horizontal="right" vertical="top" indent="1"/>
      <protection locked="0"/>
    </xf>
    <xf numFmtId="0" fontId="2" fillId="15" borderId="23" xfId="0" applyFont="1" applyFill="1" applyBorder="1" applyAlignment="1" applyProtection="1">
      <alignment horizontal="left" vertical="top" indent="1"/>
      <protection locked="0"/>
    </xf>
    <xf numFmtId="165" fontId="2" fillId="15" borderId="38" xfId="0" applyNumberFormat="1" applyFont="1" applyFill="1" applyBorder="1" applyAlignment="1" applyProtection="1">
      <alignment horizontal="right" vertical="top" indent="1"/>
      <protection locked="0"/>
    </xf>
    <xf numFmtId="0" fontId="2" fillId="3" borderId="39" xfId="0" applyFont="1" applyFill="1" applyBorder="1" applyAlignment="1" applyProtection="1">
      <alignment horizontal="center" vertical="top"/>
      <protection locked="0"/>
    </xf>
    <xf numFmtId="164" fontId="2" fillId="3" borderId="40" xfId="0" applyNumberFormat="1" applyFont="1" applyFill="1" applyBorder="1" applyAlignment="1" applyProtection="1">
      <alignment horizontal="center" vertical="top"/>
      <protection locked="0"/>
    </xf>
    <xf numFmtId="164" fontId="2" fillId="3" borderId="41" xfId="0" applyNumberFormat="1" applyFont="1" applyFill="1" applyBorder="1" applyAlignment="1" applyProtection="1">
      <alignment horizontal="center" vertical="top"/>
      <protection locked="0"/>
    </xf>
    <xf numFmtId="164" fontId="2" fillId="3" borderId="20" xfId="0" applyNumberFormat="1" applyFont="1" applyFill="1" applyBorder="1" applyAlignment="1" applyProtection="1">
      <alignment horizontal="center" vertical="top"/>
      <protection locked="0"/>
    </xf>
    <xf numFmtId="0" fontId="2" fillId="5" borderId="39" xfId="0" applyFont="1" applyFill="1" applyBorder="1" applyAlignment="1" applyProtection="1">
      <alignment horizontal="center" vertical="top"/>
      <protection locked="0"/>
    </xf>
    <xf numFmtId="164" fontId="2" fillId="5" borderId="40" xfId="0" applyNumberFormat="1" applyFont="1" applyFill="1" applyBorder="1" applyAlignment="1" applyProtection="1">
      <alignment horizontal="center" vertical="top"/>
      <protection locked="0"/>
    </xf>
    <xf numFmtId="164" fontId="2" fillId="5" borderId="41" xfId="0" applyNumberFormat="1" applyFont="1" applyFill="1" applyBorder="1" applyAlignment="1" applyProtection="1">
      <alignment horizontal="center" vertical="top"/>
      <protection locked="0"/>
    </xf>
    <xf numFmtId="164" fontId="2" fillId="5" borderId="42" xfId="0" applyNumberFormat="1" applyFont="1" applyFill="1" applyBorder="1" applyAlignment="1" applyProtection="1">
      <alignment horizontal="center" vertical="top"/>
      <protection locked="0"/>
    </xf>
    <xf numFmtId="164" fontId="2" fillId="5" borderId="20" xfId="0" applyNumberFormat="1" applyFont="1" applyFill="1" applyBorder="1" applyAlignment="1" applyProtection="1">
      <alignment horizontal="center" vertical="top"/>
      <protection locked="0"/>
    </xf>
    <xf numFmtId="0" fontId="2" fillId="14" borderId="43" xfId="0" applyFont="1" applyFill="1" applyBorder="1" applyAlignment="1" applyProtection="1">
      <alignment horizontal="left" vertical="top"/>
      <protection locked="0"/>
    </xf>
    <xf numFmtId="165" fontId="23" fillId="14" borderId="44" xfId="0" applyNumberFormat="1" applyFont="1" applyFill="1" applyBorder="1" applyAlignment="1" applyProtection="1">
      <alignment horizontal="right" vertical="top" wrapText="1"/>
      <protection locked="0"/>
    </xf>
    <xf numFmtId="165" fontId="23" fillId="14" borderId="45" xfId="0" applyNumberFormat="1" applyFont="1" applyFill="1" applyBorder="1" applyAlignment="1" applyProtection="1">
      <alignment horizontal="right" vertical="top" wrapText="1"/>
      <protection locked="0"/>
    </xf>
    <xf numFmtId="165" fontId="23" fillId="14" borderId="23" xfId="0" applyNumberFormat="1" applyFont="1" applyFill="1" applyBorder="1" applyAlignment="1" applyProtection="1">
      <alignment horizontal="right" vertical="top" wrapText="1"/>
      <protection locked="0"/>
    </xf>
    <xf numFmtId="0" fontId="2" fillId="6" borderId="43" xfId="0" applyFont="1" applyFill="1" applyBorder="1" applyAlignment="1" applyProtection="1">
      <alignment horizontal="left" vertical="top"/>
      <protection locked="0"/>
    </xf>
    <xf numFmtId="165" fontId="23" fillId="6" borderId="33" xfId="0" applyNumberFormat="1" applyFont="1" applyFill="1" applyBorder="1" applyAlignment="1" applyProtection="1">
      <alignment horizontal="right" vertical="top"/>
      <protection locked="0"/>
    </xf>
    <xf numFmtId="165" fontId="23" fillId="6" borderId="47" xfId="0" applyNumberFormat="1" applyFont="1" applyFill="1" applyBorder="1" applyAlignment="1" applyProtection="1">
      <alignment horizontal="right" vertical="top"/>
      <protection locked="0"/>
    </xf>
    <xf numFmtId="165" fontId="23" fillId="6" borderId="46" xfId="0" applyNumberFormat="1" applyFont="1" applyFill="1" applyBorder="1" applyAlignment="1" applyProtection="1">
      <alignment horizontal="right" vertical="top"/>
      <protection locked="0"/>
    </xf>
    <xf numFmtId="165" fontId="23" fillId="6" borderId="23" xfId="0" applyNumberFormat="1" applyFont="1" applyFill="1" applyBorder="1" applyAlignment="1" applyProtection="1">
      <alignment horizontal="right" vertical="top" wrapText="1"/>
      <protection locked="0"/>
    </xf>
    <xf numFmtId="165" fontId="24" fillId="16" borderId="28" xfId="0" applyNumberFormat="1" applyFont="1" applyFill="1" applyBorder="1" applyAlignment="1" applyProtection="1">
      <alignment horizontal="right" vertical="top" wrapText="1"/>
      <protection locked="0"/>
    </xf>
    <xf numFmtId="0" fontId="2" fillId="0" borderId="34" xfId="0" applyFont="1" applyBorder="1" applyAlignment="1" applyProtection="1">
      <alignment horizontal="left" vertical="top"/>
      <protection locked="0"/>
    </xf>
    <xf numFmtId="165" fontId="23" fillId="0" borderId="40" xfId="0" applyNumberFormat="1" applyFont="1" applyBorder="1" applyAlignment="1" applyProtection="1">
      <alignment horizontal="right" vertical="top" wrapText="1"/>
      <protection locked="0"/>
    </xf>
    <xf numFmtId="165" fontId="23" fillId="0" borderId="41" xfId="0" applyNumberFormat="1" applyFont="1" applyBorder="1" applyAlignment="1" applyProtection="1">
      <alignment horizontal="right" vertical="top" wrapText="1"/>
      <protection locked="0"/>
    </xf>
    <xf numFmtId="165" fontId="23" fillId="17" borderId="28" xfId="0" applyNumberFormat="1" applyFont="1" applyFill="1" applyBorder="1" applyAlignment="1" applyProtection="1">
      <alignment horizontal="right" vertical="top" wrapText="1"/>
      <protection locked="0"/>
    </xf>
    <xf numFmtId="165" fontId="24" fillId="0" borderId="51" xfId="0" applyNumberFormat="1" applyFont="1" applyBorder="1" applyAlignment="1" applyProtection="1">
      <alignment horizontal="right" vertical="top" wrapText="1"/>
      <protection locked="0"/>
    </xf>
    <xf numFmtId="165" fontId="24" fillId="0" borderId="52" xfId="0" applyNumberFormat="1" applyFont="1" applyBorder="1" applyAlignment="1" applyProtection="1">
      <alignment horizontal="right" vertical="top" wrapText="1"/>
      <protection locked="0"/>
    </xf>
    <xf numFmtId="0" fontId="4" fillId="0" borderId="50" xfId="0" applyFont="1" applyBorder="1" applyAlignment="1">
      <alignment horizontal="left" indent="1"/>
    </xf>
    <xf numFmtId="165" fontId="24" fillId="0" borderId="51" xfId="0" applyNumberFormat="1" applyFont="1" applyBorder="1" applyAlignment="1">
      <alignment horizontal="right" wrapText="1"/>
    </xf>
    <xf numFmtId="165" fontId="24" fillId="0" borderId="52" xfId="0" applyNumberFormat="1" applyFont="1" applyBorder="1" applyAlignment="1">
      <alignment horizontal="right" wrapText="1"/>
    </xf>
    <xf numFmtId="165" fontId="24" fillId="17" borderId="28" xfId="0" applyNumberFormat="1" applyFont="1" applyFill="1" applyBorder="1" applyAlignment="1" applyProtection="1">
      <alignment horizontal="right" vertical="top" wrapText="1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165" fontId="23" fillId="0" borderId="51" xfId="0" applyNumberFormat="1" applyFont="1" applyBorder="1" applyAlignment="1" applyProtection="1">
      <alignment horizontal="right" vertical="top" wrapText="1"/>
      <protection locked="0"/>
    </xf>
    <xf numFmtId="165" fontId="23" fillId="0" borderId="52" xfId="0" applyNumberFormat="1" applyFont="1" applyBorder="1" applyAlignment="1" applyProtection="1">
      <alignment horizontal="right" vertical="top" wrapText="1"/>
      <protection locked="0"/>
    </xf>
    <xf numFmtId="0" fontId="4" fillId="0" borderId="21" xfId="0" applyFont="1" applyBorder="1" applyAlignment="1">
      <alignment horizontal="left" indent="1"/>
    </xf>
    <xf numFmtId="0" fontId="2" fillId="0" borderId="50" xfId="0" applyFont="1" applyBorder="1"/>
    <xf numFmtId="0" fontId="4" fillId="0" borderId="21" xfId="0" applyFont="1" applyBorder="1" applyAlignment="1" applyProtection="1">
      <alignment horizontal="left" vertical="top"/>
      <protection locked="0"/>
    </xf>
    <xf numFmtId="0" fontId="22" fillId="13" borderId="33" xfId="0" applyFont="1" applyFill="1" applyBorder="1" applyAlignment="1" applyProtection="1">
      <alignment horizontal="left" vertical="top"/>
      <protection locked="0"/>
    </xf>
    <xf numFmtId="165" fontId="25" fillId="18" borderId="44" xfId="0" applyNumberFormat="1" applyFont="1" applyFill="1" applyBorder="1" applyAlignment="1" applyProtection="1">
      <alignment horizontal="right" vertical="top" wrapText="1"/>
      <protection locked="0"/>
    </xf>
    <xf numFmtId="165" fontId="25" fillId="18" borderId="45" xfId="0" applyNumberFormat="1" applyFont="1" applyFill="1" applyBorder="1" applyAlignment="1" applyProtection="1">
      <alignment horizontal="right" vertical="top" wrapText="1"/>
      <protection locked="0"/>
    </xf>
    <xf numFmtId="165" fontId="25" fillId="18" borderId="31" xfId="0" applyNumberFormat="1" applyFont="1" applyFill="1" applyBorder="1" applyAlignment="1" applyProtection="1">
      <alignment horizontal="right" vertical="top" wrapText="1"/>
      <protection locked="0"/>
    </xf>
    <xf numFmtId="0" fontId="4" fillId="0" borderId="33" xfId="0" applyFont="1" applyBorder="1" applyAlignment="1">
      <alignment horizontal="left" indent="1"/>
    </xf>
    <xf numFmtId="165" fontId="24" fillId="0" borderId="44" xfId="0" applyNumberFormat="1" applyFont="1" applyBorder="1" applyAlignment="1">
      <alignment horizontal="right" wrapText="1"/>
    </xf>
    <xf numFmtId="165" fontId="24" fillId="0" borderId="45" xfId="0" applyNumberFormat="1" applyFont="1" applyBorder="1" applyAlignment="1">
      <alignment horizontal="right" wrapText="1"/>
    </xf>
    <xf numFmtId="165" fontId="27" fillId="7" borderId="8" xfId="0" applyNumberFormat="1" applyFont="1" applyFill="1" applyBorder="1" applyAlignment="1" applyProtection="1">
      <alignment horizontal="right" vertical="top" wrapText="1"/>
      <protection locked="0"/>
    </xf>
    <xf numFmtId="0" fontId="26" fillId="7" borderId="8" xfId="0" applyFont="1" applyFill="1" applyBorder="1" applyAlignment="1">
      <alignment horizontal="left"/>
    </xf>
    <xf numFmtId="165" fontId="27" fillId="7" borderId="54" xfId="0" applyNumberFormat="1" applyFont="1" applyFill="1" applyBorder="1" applyAlignment="1" applyProtection="1">
      <alignment horizontal="right" vertical="top" wrapText="1"/>
      <protection locked="0"/>
    </xf>
    <xf numFmtId="165" fontId="27" fillId="7" borderId="55" xfId="0" applyNumberFormat="1" applyFont="1" applyFill="1" applyBorder="1" applyAlignment="1" applyProtection="1">
      <alignment horizontal="right" vertical="top" wrapText="1"/>
      <protection locked="0"/>
    </xf>
    <xf numFmtId="165" fontId="27" fillId="7" borderId="56" xfId="0" applyNumberFormat="1" applyFont="1" applyFill="1" applyBorder="1" applyAlignment="1" applyProtection="1">
      <alignment horizontal="right" vertical="top" wrapText="1"/>
      <protection locked="0"/>
    </xf>
    <xf numFmtId="0" fontId="26" fillId="7" borderId="57" xfId="0" applyFont="1" applyFill="1" applyBorder="1" applyAlignment="1">
      <alignment horizontal="left"/>
    </xf>
    <xf numFmtId="0" fontId="26" fillId="7" borderId="55" xfId="0" applyFont="1" applyFill="1" applyBorder="1" applyAlignment="1">
      <alignment horizontal="left" indent="1"/>
    </xf>
    <xf numFmtId="0" fontId="26" fillId="7" borderId="56" xfId="0" applyFont="1" applyFill="1" applyBorder="1" applyAlignment="1">
      <alignment horizontal="left" indent="1"/>
    </xf>
    <xf numFmtId="165" fontId="24" fillId="0" borderId="48" xfId="0" applyNumberFormat="1" applyFont="1" applyFill="1" applyBorder="1" applyAlignment="1" applyProtection="1">
      <alignment horizontal="right" vertical="top" wrapText="1"/>
      <protection locked="0"/>
    </xf>
    <xf numFmtId="165" fontId="24" fillId="0" borderId="49" xfId="0" applyNumberFormat="1" applyFont="1" applyFill="1" applyBorder="1" applyAlignment="1" applyProtection="1">
      <alignment horizontal="right" vertical="top" wrapText="1"/>
      <protection locked="0"/>
    </xf>
    <xf numFmtId="165" fontId="24" fillId="0" borderId="51" xfId="0" applyNumberFormat="1" applyFont="1" applyFill="1" applyBorder="1" applyAlignment="1" applyProtection="1">
      <alignment horizontal="right" vertical="top" wrapText="1"/>
      <protection locked="0"/>
    </xf>
    <xf numFmtId="165" fontId="24" fillId="0" borderId="52" xfId="0" applyNumberFormat="1" applyFont="1" applyFill="1" applyBorder="1" applyAlignment="1" applyProtection="1">
      <alignment horizontal="right" vertical="top" wrapText="1"/>
      <protection locked="0"/>
    </xf>
    <xf numFmtId="165" fontId="24" fillId="0" borderId="53" xfId="0" applyNumberFormat="1" applyFont="1" applyFill="1" applyBorder="1" applyAlignment="1" applyProtection="1">
      <alignment horizontal="right" vertical="top" wrapText="1"/>
      <protection locked="0"/>
    </xf>
    <xf numFmtId="0" fontId="4" fillId="0" borderId="34" xfId="0" applyFont="1" applyFill="1" applyBorder="1" applyAlignment="1" applyProtection="1">
      <alignment horizontal="left" vertical="top"/>
      <protection locked="0"/>
    </xf>
    <xf numFmtId="0" fontId="4" fillId="0" borderId="5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22" fillId="13" borderId="43" xfId="0" applyFont="1" applyFill="1" applyBorder="1" applyAlignment="1" applyProtection="1">
      <alignment horizontal="left" vertical="top"/>
      <protection locked="0"/>
    </xf>
    <xf numFmtId="165" fontId="25" fillId="18" borderId="23" xfId="0" applyNumberFormat="1" applyFont="1" applyFill="1" applyBorder="1" applyAlignment="1" applyProtection="1">
      <alignment horizontal="right" vertical="top" wrapText="1"/>
      <protection locked="0"/>
    </xf>
    <xf numFmtId="0" fontId="4" fillId="0" borderId="43" xfId="0" applyFont="1" applyBorder="1" applyAlignment="1">
      <alignment horizontal="left" indent="1"/>
    </xf>
    <xf numFmtId="165" fontId="24" fillId="17" borderId="6" xfId="0" applyNumberFormat="1" applyFont="1" applyFill="1" applyBorder="1" applyAlignment="1" applyProtection="1">
      <alignment horizontal="right" vertical="top" wrapText="1"/>
      <protection locked="0"/>
    </xf>
    <xf numFmtId="165" fontId="23" fillId="14" borderId="43" xfId="0" applyNumberFormat="1" applyFont="1" applyFill="1" applyBorder="1" applyAlignment="1" applyProtection="1">
      <alignment horizontal="right" vertical="top" wrapText="1"/>
      <protection locked="0"/>
    </xf>
    <xf numFmtId="165" fontId="25" fillId="18" borderId="43" xfId="0" applyNumberFormat="1" applyFont="1" applyFill="1" applyBorder="1" applyAlignment="1" applyProtection="1">
      <alignment horizontal="right" vertical="top" wrapText="1"/>
      <protection locked="0"/>
    </xf>
    <xf numFmtId="164" fontId="2" fillId="3" borderId="20" xfId="0" applyNumberFormat="1" applyFont="1" applyFill="1" applyBorder="1" applyAlignment="1" applyProtection="1">
      <alignment horizontal="center" vertical="top" wrapText="1"/>
      <protection locked="0"/>
    </xf>
    <xf numFmtId="165" fontId="23" fillId="6" borderId="6" xfId="0" applyNumberFormat="1" applyFont="1" applyFill="1" applyBorder="1" applyAlignment="1" applyProtection="1">
      <alignment horizontal="right" vertical="top" wrapText="1"/>
      <protection locked="0"/>
    </xf>
    <xf numFmtId="164" fontId="2" fillId="5" borderId="19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Normální" xfId="0" builtinId="0"/>
    <cellStyle name="Normální 2" xfId="1" xr:uid="{CEF236A9-D6AA-4F13-B8B1-836AC5C580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E140D-805C-4211-BA14-A6FA07A712F2}">
  <sheetPr>
    <pageSetUpPr fitToPage="1"/>
  </sheetPr>
  <dimension ref="B1:J32"/>
  <sheetViews>
    <sheetView showGridLines="0" tabSelected="1" zoomScaleNormal="100" workbookViewId="0">
      <selection activeCell="H7" sqref="H7"/>
    </sheetView>
  </sheetViews>
  <sheetFormatPr defaultColWidth="9.140625" defaultRowHeight="15" x14ac:dyDescent="0.25"/>
  <cols>
    <col min="2" max="2" width="25.42578125" bestFit="1" customWidth="1"/>
    <col min="3" max="3" width="15" customWidth="1"/>
    <col min="4" max="4" width="15.85546875" customWidth="1"/>
    <col min="5" max="5" width="15.7109375" customWidth="1"/>
    <col min="6" max="6" width="38.28515625" customWidth="1"/>
    <col min="7" max="9" width="15.140625" customWidth="1"/>
    <col min="10" max="10" width="16.140625" customWidth="1"/>
    <col min="11" max="11" width="19.28515625" customWidth="1"/>
    <col min="12" max="12" width="15.140625" customWidth="1"/>
    <col min="13" max="13" width="16.42578125" customWidth="1"/>
    <col min="14" max="14" width="17.42578125" customWidth="1"/>
    <col min="15" max="15" width="18.42578125" customWidth="1"/>
    <col min="16" max="16" width="9.140625" customWidth="1"/>
  </cols>
  <sheetData>
    <row r="1" spans="2:10" x14ac:dyDescent="0.25">
      <c r="B1" s="130" t="s">
        <v>239</v>
      </c>
      <c r="C1" s="130"/>
      <c r="D1" s="130"/>
      <c r="E1" s="130"/>
      <c r="F1" s="12"/>
    </row>
    <row r="2" spans="2:10" ht="15.75" thickBot="1" x14ac:dyDescent="0.3">
      <c r="C2" s="12"/>
      <c r="D2" s="12"/>
      <c r="E2" s="12"/>
    </row>
    <row r="3" spans="2:10" ht="24" x14ac:dyDescent="0.25">
      <c r="B3" s="149" t="s">
        <v>209</v>
      </c>
      <c r="C3" s="218" t="s">
        <v>236</v>
      </c>
      <c r="D3" s="218" t="s">
        <v>237</v>
      </c>
      <c r="E3" s="218" t="s">
        <v>238</v>
      </c>
      <c r="F3" s="153" t="s">
        <v>214</v>
      </c>
      <c r="G3" s="220" t="s">
        <v>240</v>
      </c>
      <c r="H3" s="220" t="s">
        <v>241</v>
      </c>
      <c r="I3" s="220" t="s">
        <v>242</v>
      </c>
    </row>
    <row r="4" spans="2:10" ht="15.75" thickBot="1" x14ac:dyDescent="0.3">
      <c r="B4" s="158"/>
      <c r="C4" s="161">
        <v>369632668</v>
      </c>
      <c r="D4" s="216">
        <f>SUM(D5:D31)</f>
        <v>388114301.40000004</v>
      </c>
      <c r="E4" s="216">
        <f>SUM(E5:E31)</f>
        <v>407520016.47000003</v>
      </c>
      <c r="F4" s="162"/>
      <c r="G4" s="219">
        <v>369632668</v>
      </c>
      <c r="H4" s="219">
        <f>SUM(H5,H8,H17,H19,H26)</f>
        <v>388114301.40000004</v>
      </c>
      <c r="I4" s="219">
        <f>SUM(I5,I8,I17,I19,I26)</f>
        <v>407520016.47000003</v>
      </c>
    </row>
    <row r="5" spans="2:10" x14ac:dyDescent="0.25">
      <c r="B5" s="204" t="s">
        <v>30</v>
      </c>
      <c r="C5" s="167">
        <f>Konsolidovaný!G8</f>
        <v>9487088.8000000007</v>
      </c>
      <c r="D5" s="167">
        <f>C5*1.05</f>
        <v>9961443.2400000021</v>
      </c>
      <c r="E5" s="167">
        <f>D5*1.05</f>
        <v>10459515.402000003</v>
      </c>
      <c r="F5" s="168" t="s">
        <v>215</v>
      </c>
      <c r="G5" s="171">
        <f>Konsolidovaný!M8</f>
        <v>3800000</v>
      </c>
      <c r="H5" s="171">
        <f>SUM(H6:H7)</f>
        <v>3990000</v>
      </c>
      <c r="I5" s="171">
        <f>H5*1.05</f>
        <v>4189500</v>
      </c>
    </row>
    <row r="6" spans="2:10" x14ac:dyDescent="0.25">
      <c r="B6" s="205" t="s">
        <v>38</v>
      </c>
      <c r="C6" s="167">
        <f>Konsolidovaný!G9</f>
        <v>636000</v>
      </c>
      <c r="D6" s="167">
        <f t="shared" ref="D6:E31" si="0">C6*1.05</f>
        <v>667800</v>
      </c>
      <c r="E6" s="167">
        <f t="shared" si="0"/>
        <v>701190</v>
      </c>
      <c r="F6" s="174" t="s">
        <v>216</v>
      </c>
      <c r="G6" s="177">
        <f>Konsolidovaný!M9</f>
        <v>1400000</v>
      </c>
      <c r="H6" s="177">
        <f t="shared" ref="H6:I32" si="1">G6*1.05</f>
        <v>1470000</v>
      </c>
      <c r="I6" s="177">
        <f t="shared" si="1"/>
        <v>1543500</v>
      </c>
      <c r="J6" s="30"/>
    </row>
    <row r="7" spans="2:10" x14ac:dyDescent="0.25">
      <c r="B7" s="205" t="s">
        <v>11</v>
      </c>
      <c r="C7" s="167">
        <f>Konsolidovaný!G10</f>
        <v>12643744.4</v>
      </c>
      <c r="D7" s="167">
        <f t="shared" si="0"/>
        <v>13275931.620000001</v>
      </c>
      <c r="E7" s="167">
        <f t="shared" si="0"/>
        <v>13939728.201000001</v>
      </c>
      <c r="F7" s="174" t="s">
        <v>217</v>
      </c>
      <c r="G7" s="177">
        <f>Konsolidovaný!M10</f>
        <v>2400000</v>
      </c>
      <c r="H7" s="177">
        <f t="shared" si="1"/>
        <v>2520000</v>
      </c>
      <c r="I7" s="177">
        <f t="shared" si="1"/>
        <v>2646000</v>
      </c>
      <c r="J7" s="30"/>
    </row>
    <row r="8" spans="2:10" x14ac:dyDescent="0.25">
      <c r="B8" s="205" t="s">
        <v>12</v>
      </c>
      <c r="C8" s="167">
        <f>Konsolidovaný!G11</f>
        <v>1208148</v>
      </c>
      <c r="D8" s="167">
        <f t="shared" si="0"/>
        <v>1268555.4000000001</v>
      </c>
      <c r="E8" s="167">
        <f t="shared" si="0"/>
        <v>1331983.1700000002</v>
      </c>
      <c r="F8" s="178" t="s">
        <v>218</v>
      </c>
      <c r="G8" s="171">
        <f>Konsolidovaný!M11</f>
        <v>24529000</v>
      </c>
      <c r="H8" s="171">
        <f>SUM(H9:H16)</f>
        <v>25755450</v>
      </c>
      <c r="I8" s="171">
        <f t="shared" si="1"/>
        <v>27043222.5</v>
      </c>
      <c r="J8" s="30"/>
    </row>
    <row r="9" spans="2:10" x14ac:dyDescent="0.25">
      <c r="B9" s="205" t="s">
        <v>39</v>
      </c>
      <c r="C9" s="167">
        <f>Konsolidovaný!G12</f>
        <v>5755000</v>
      </c>
      <c r="D9" s="167">
        <f t="shared" si="0"/>
        <v>6042750</v>
      </c>
      <c r="E9" s="167">
        <f t="shared" si="0"/>
        <v>6344887.5</v>
      </c>
      <c r="F9" s="174" t="s">
        <v>219</v>
      </c>
      <c r="G9" s="177">
        <f>Konsolidovaný!M12</f>
        <v>3500000</v>
      </c>
      <c r="H9" s="177">
        <f t="shared" si="1"/>
        <v>3675000</v>
      </c>
      <c r="I9" s="177">
        <f t="shared" si="1"/>
        <v>3858750</v>
      </c>
      <c r="J9" s="30"/>
    </row>
    <row r="10" spans="2:10" x14ac:dyDescent="0.25">
      <c r="B10" s="205" t="s">
        <v>13</v>
      </c>
      <c r="C10" s="167">
        <f>Konsolidovaný!G13</f>
        <v>3559100</v>
      </c>
      <c r="D10" s="167">
        <f t="shared" si="0"/>
        <v>3737055</v>
      </c>
      <c r="E10" s="167">
        <f t="shared" si="0"/>
        <v>3923907.75</v>
      </c>
      <c r="F10" s="174" t="s">
        <v>45</v>
      </c>
      <c r="G10" s="177">
        <f>Konsolidovaný!M13</f>
        <v>2000000</v>
      </c>
      <c r="H10" s="177">
        <f t="shared" si="1"/>
        <v>2100000</v>
      </c>
      <c r="I10" s="177">
        <f t="shared" si="1"/>
        <v>2205000</v>
      </c>
      <c r="J10" s="30"/>
    </row>
    <row r="11" spans="2:10" x14ac:dyDescent="0.25">
      <c r="B11" s="205" t="s">
        <v>61</v>
      </c>
      <c r="C11" s="167">
        <f>Konsolidovaný!G14</f>
        <v>2331900</v>
      </c>
      <c r="D11" s="167">
        <f t="shared" si="0"/>
        <v>2448495</v>
      </c>
      <c r="E11" s="167">
        <f t="shared" si="0"/>
        <v>2570919.75</v>
      </c>
      <c r="F11" s="174" t="s">
        <v>123</v>
      </c>
      <c r="G11" s="177">
        <f>Konsolidovaný!M14</f>
        <v>2100000</v>
      </c>
      <c r="H11" s="177">
        <f t="shared" si="1"/>
        <v>2205000</v>
      </c>
      <c r="I11" s="177">
        <f t="shared" si="1"/>
        <v>2315250</v>
      </c>
      <c r="J11" s="30"/>
    </row>
    <row r="12" spans="2:10" x14ac:dyDescent="0.25">
      <c r="B12" s="205" t="s">
        <v>14</v>
      </c>
      <c r="C12" s="167">
        <f>Konsolidovaný!G15</f>
        <v>1531000</v>
      </c>
      <c r="D12" s="167">
        <f t="shared" si="0"/>
        <v>1607550</v>
      </c>
      <c r="E12" s="167">
        <f t="shared" si="0"/>
        <v>1687927.5</v>
      </c>
      <c r="F12" s="174" t="s">
        <v>220</v>
      </c>
      <c r="G12" s="177">
        <f>Konsolidovaný!M15</f>
        <v>0</v>
      </c>
      <c r="H12" s="177">
        <f t="shared" si="1"/>
        <v>0</v>
      </c>
      <c r="I12" s="177">
        <f t="shared" si="1"/>
        <v>0</v>
      </c>
      <c r="J12" s="30"/>
    </row>
    <row r="13" spans="2:10" x14ac:dyDescent="0.25">
      <c r="B13" s="205" t="s">
        <v>15</v>
      </c>
      <c r="C13" s="167">
        <f>Konsolidovaný!G16</f>
        <v>5457000</v>
      </c>
      <c r="D13" s="167">
        <f t="shared" si="0"/>
        <v>5729850</v>
      </c>
      <c r="E13" s="167">
        <f t="shared" si="0"/>
        <v>6016342.5</v>
      </c>
      <c r="F13" s="174" t="s">
        <v>145</v>
      </c>
      <c r="G13" s="177">
        <f>Konsolidovaný!M16</f>
        <v>329000</v>
      </c>
      <c r="H13" s="177">
        <f t="shared" si="1"/>
        <v>345450</v>
      </c>
      <c r="I13" s="177">
        <f t="shared" si="1"/>
        <v>362722.5</v>
      </c>
      <c r="J13" s="30"/>
    </row>
    <row r="14" spans="2:10" x14ac:dyDescent="0.25">
      <c r="B14" s="205" t="s">
        <v>6</v>
      </c>
      <c r="C14" s="167">
        <f>Konsolidovaný!G17</f>
        <v>3014942.06</v>
      </c>
      <c r="D14" s="167">
        <f t="shared" si="0"/>
        <v>3165689.1630000002</v>
      </c>
      <c r="E14" s="167">
        <f t="shared" si="0"/>
        <v>3323973.6211500005</v>
      </c>
      <c r="F14" s="174" t="s">
        <v>115</v>
      </c>
      <c r="G14" s="177">
        <f>Konsolidovaný!M17</f>
        <v>1500000</v>
      </c>
      <c r="H14" s="177">
        <f t="shared" si="1"/>
        <v>1575000</v>
      </c>
      <c r="I14" s="177">
        <f t="shared" si="1"/>
        <v>1653750</v>
      </c>
      <c r="J14" s="30"/>
    </row>
    <row r="15" spans="2:10" x14ac:dyDescent="0.25">
      <c r="B15" s="205" t="s">
        <v>4</v>
      </c>
      <c r="C15" s="167">
        <f>Konsolidovaný!G18</f>
        <v>29665823.900000002</v>
      </c>
      <c r="D15" s="167">
        <f t="shared" si="0"/>
        <v>31149115.095000003</v>
      </c>
      <c r="E15" s="167">
        <f t="shared" si="0"/>
        <v>32706570.849750005</v>
      </c>
      <c r="F15" s="174" t="s">
        <v>47</v>
      </c>
      <c r="G15" s="177">
        <f>Konsolidovaný!M18</f>
        <v>15000000</v>
      </c>
      <c r="H15" s="177">
        <f t="shared" si="1"/>
        <v>15750000</v>
      </c>
      <c r="I15" s="177">
        <f t="shared" si="1"/>
        <v>16537500</v>
      </c>
      <c r="J15" s="30"/>
    </row>
    <row r="16" spans="2:10" x14ac:dyDescent="0.25">
      <c r="B16" s="205" t="s">
        <v>16</v>
      </c>
      <c r="C16" s="167">
        <f>Konsolidovaný!G19</f>
        <v>350500</v>
      </c>
      <c r="D16" s="167">
        <f t="shared" si="0"/>
        <v>368025</v>
      </c>
      <c r="E16" s="167">
        <f t="shared" si="0"/>
        <v>386426.25</v>
      </c>
      <c r="F16" s="181" t="s">
        <v>221</v>
      </c>
      <c r="G16" s="177">
        <f>Konsolidovaný!M19</f>
        <v>100000</v>
      </c>
      <c r="H16" s="177">
        <f t="shared" si="1"/>
        <v>105000</v>
      </c>
      <c r="I16" s="177">
        <f t="shared" si="1"/>
        <v>110250</v>
      </c>
      <c r="J16" s="30"/>
    </row>
    <row r="17" spans="2:10" x14ac:dyDescent="0.25">
      <c r="B17" s="205" t="s">
        <v>17</v>
      </c>
      <c r="C17" s="167">
        <f>Konsolidovaný!G20</f>
        <v>6993000</v>
      </c>
      <c r="D17" s="167">
        <f t="shared" si="0"/>
        <v>7342650</v>
      </c>
      <c r="E17" s="167">
        <f t="shared" si="0"/>
        <v>7709782.5</v>
      </c>
      <c r="F17" s="178" t="s">
        <v>222</v>
      </c>
      <c r="G17" s="171">
        <f>Konsolidovaný!M20</f>
        <v>600000</v>
      </c>
      <c r="H17" s="171">
        <f>H18</f>
        <v>630000</v>
      </c>
      <c r="I17" s="171">
        <f t="shared" si="1"/>
        <v>661500</v>
      </c>
      <c r="J17" s="30"/>
    </row>
    <row r="18" spans="2:10" x14ac:dyDescent="0.25">
      <c r="B18" s="205" t="s">
        <v>5</v>
      </c>
      <c r="C18" s="167">
        <f>Konsolidovaný!G21</f>
        <v>1615000</v>
      </c>
      <c r="D18" s="167">
        <f t="shared" si="0"/>
        <v>1695750</v>
      </c>
      <c r="E18" s="167">
        <f t="shared" si="0"/>
        <v>1780537.5</v>
      </c>
      <c r="F18" s="174" t="s">
        <v>143</v>
      </c>
      <c r="G18" s="177">
        <f>Konsolidovaný!M21</f>
        <v>600000</v>
      </c>
      <c r="H18" s="177">
        <f t="shared" si="1"/>
        <v>630000</v>
      </c>
      <c r="I18" s="177">
        <f t="shared" si="1"/>
        <v>661500</v>
      </c>
      <c r="J18" s="30"/>
    </row>
    <row r="19" spans="2:10" x14ac:dyDescent="0.25">
      <c r="B19" s="205" t="s">
        <v>7</v>
      </c>
      <c r="C19" s="167">
        <f>Konsolidovaný!G22</f>
        <v>407649.12</v>
      </c>
      <c r="D19" s="167">
        <f t="shared" si="0"/>
        <v>428031.576</v>
      </c>
      <c r="E19" s="167">
        <f t="shared" si="0"/>
        <v>449433.15480000002</v>
      </c>
      <c r="F19" s="178" t="s">
        <v>223</v>
      </c>
      <c r="G19" s="171">
        <f>Konsolidovaný!M22</f>
        <v>44744280</v>
      </c>
      <c r="H19" s="171">
        <f>SUM(H20:H25)</f>
        <v>46981494</v>
      </c>
      <c r="I19" s="171">
        <f t="shared" si="1"/>
        <v>49330568.700000003</v>
      </c>
      <c r="J19" s="30"/>
    </row>
    <row r="20" spans="2:10" x14ac:dyDescent="0.25">
      <c r="B20" s="205" t="s">
        <v>8</v>
      </c>
      <c r="C20" s="167">
        <f>Konsolidovaný!G23</f>
        <v>229104299.21000001</v>
      </c>
      <c r="D20" s="167">
        <f t="shared" si="0"/>
        <v>240559514.17050001</v>
      </c>
      <c r="E20" s="167">
        <f t="shared" si="0"/>
        <v>252587489.87902501</v>
      </c>
      <c r="F20" s="174" t="s">
        <v>31</v>
      </c>
      <c r="G20" s="177">
        <f>Konsolidovaný!M23</f>
        <v>11500000</v>
      </c>
      <c r="H20" s="177">
        <f t="shared" si="1"/>
        <v>12075000</v>
      </c>
      <c r="I20" s="177">
        <f t="shared" si="1"/>
        <v>12678750</v>
      </c>
      <c r="J20" s="30"/>
    </row>
    <row r="21" spans="2:10" x14ac:dyDescent="0.25">
      <c r="B21" s="205" t="s">
        <v>18</v>
      </c>
      <c r="C21" s="167">
        <f>Konsolidovaný!G24</f>
        <v>1687972.2000000002</v>
      </c>
      <c r="D21" s="167">
        <f t="shared" si="0"/>
        <v>1772370.8100000003</v>
      </c>
      <c r="E21" s="167">
        <f t="shared" si="0"/>
        <v>1860989.3505000004</v>
      </c>
      <c r="F21" s="174" t="s">
        <v>224</v>
      </c>
      <c r="G21" s="177">
        <f>Konsolidovaný!M24</f>
        <v>19244280</v>
      </c>
      <c r="H21" s="177">
        <f t="shared" si="1"/>
        <v>20206494</v>
      </c>
      <c r="I21" s="177">
        <f t="shared" si="1"/>
        <v>21216818.699999999</v>
      </c>
      <c r="J21" s="30"/>
    </row>
    <row r="22" spans="2:10" x14ac:dyDescent="0.25">
      <c r="B22" s="205" t="s">
        <v>58</v>
      </c>
      <c r="C22" s="167">
        <f>Konsolidovaný!G25</f>
        <v>96500</v>
      </c>
      <c r="D22" s="167">
        <f t="shared" si="0"/>
        <v>101325</v>
      </c>
      <c r="E22" s="167">
        <f t="shared" si="0"/>
        <v>106391.25</v>
      </c>
      <c r="F22" s="181" t="s">
        <v>225</v>
      </c>
      <c r="G22" s="177">
        <f>Konsolidovaný!M25</f>
        <v>0</v>
      </c>
      <c r="H22" s="177">
        <f t="shared" si="1"/>
        <v>0</v>
      </c>
      <c r="I22" s="177">
        <f t="shared" si="1"/>
        <v>0</v>
      </c>
      <c r="J22" s="30"/>
    </row>
    <row r="23" spans="2:10" x14ac:dyDescent="0.25">
      <c r="B23" s="205" t="s">
        <v>19</v>
      </c>
      <c r="C23" s="167">
        <f>Konsolidovaný!G26</f>
        <v>2187734.7400000002</v>
      </c>
      <c r="D23" s="167">
        <f t="shared" si="0"/>
        <v>2297121.4770000004</v>
      </c>
      <c r="E23" s="167">
        <f t="shared" si="0"/>
        <v>2411977.5508500007</v>
      </c>
      <c r="F23" s="174" t="s">
        <v>142</v>
      </c>
      <c r="G23" s="177">
        <f>Konsolidovaný!M26</f>
        <v>14000000</v>
      </c>
      <c r="H23" s="177">
        <f t="shared" si="1"/>
        <v>14700000</v>
      </c>
      <c r="I23" s="177">
        <f t="shared" si="1"/>
        <v>15435000</v>
      </c>
      <c r="J23" s="30"/>
    </row>
    <row r="24" spans="2:10" x14ac:dyDescent="0.25">
      <c r="B24" s="205" t="s">
        <v>41</v>
      </c>
      <c r="C24" s="167">
        <f>Konsolidovaný!G27</f>
        <v>295000</v>
      </c>
      <c r="D24" s="167">
        <f t="shared" si="0"/>
        <v>309750</v>
      </c>
      <c r="E24" s="167">
        <f t="shared" si="0"/>
        <v>325237.5</v>
      </c>
      <c r="F24" s="174" t="s">
        <v>226</v>
      </c>
      <c r="G24" s="177">
        <f>Konsolidovaný!M27</f>
        <v>0</v>
      </c>
      <c r="H24" s="177">
        <f t="shared" si="1"/>
        <v>0</v>
      </c>
      <c r="I24" s="177">
        <f t="shared" si="1"/>
        <v>0</v>
      </c>
      <c r="J24" s="30"/>
    </row>
    <row r="25" spans="2:10" x14ac:dyDescent="0.25">
      <c r="B25" s="205" t="s">
        <v>21</v>
      </c>
      <c r="C25" s="167">
        <f>Konsolidovaný!G28</f>
        <v>654524</v>
      </c>
      <c r="D25" s="167">
        <f t="shared" si="0"/>
        <v>687250.20000000007</v>
      </c>
      <c r="E25" s="167">
        <f t="shared" si="0"/>
        <v>721612.71000000008</v>
      </c>
      <c r="F25" s="181" t="s">
        <v>227</v>
      </c>
      <c r="G25" s="177">
        <f>Konsolidovaný!M28</f>
        <v>0</v>
      </c>
      <c r="H25" s="177">
        <f t="shared" si="1"/>
        <v>0</v>
      </c>
      <c r="I25" s="177">
        <f t="shared" si="1"/>
        <v>0</v>
      </c>
      <c r="J25" s="30"/>
    </row>
    <row r="26" spans="2:10" x14ac:dyDescent="0.25">
      <c r="B26" s="205" t="s">
        <v>40</v>
      </c>
      <c r="C26" s="167">
        <f>Konsolidovaný!G29</f>
        <v>9084680</v>
      </c>
      <c r="D26" s="167">
        <f t="shared" si="0"/>
        <v>9538914</v>
      </c>
      <c r="E26" s="167">
        <f t="shared" si="0"/>
        <v>10015859.700000001</v>
      </c>
      <c r="F26" s="182" t="s">
        <v>228</v>
      </c>
      <c r="G26" s="171">
        <f>Konsolidovaný!M29</f>
        <v>295959388</v>
      </c>
      <c r="H26" s="171">
        <f>SUM(H27:H32)</f>
        <v>310757357.40000004</v>
      </c>
      <c r="I26" s="171">
        <f t="shared" si="1"/>
        <v>326295225.27000004</v>
      </c>
      <c r="J26" s="30"/>
    </row>
    <row r="27" spans="2:10" x14ac:dyDescent="0.25">
      <c r="B27" s="205" t="s">
        <v>229</v>
      </c>
      <c r="C27" s="167">
        <f>Konsolidovaný!G30</f>
        <v>3502100</v>
      </c>
      <c r="D27" s="167">
        <f t="shared" si="0"/>
        <v>3677205</v>
      </c>
      <c r="E27" s="167">
        <f t="shared" si="0"/>
        <v>3861065.25</v>
      </c>
      <c r="F27" s="174" t="s">
        <v>79</v>
      </c>
      <c r="G27" s="177">
        <f>Konsolidovaný!M30</f>
        <v>172836331</v>
      </c>
      <c r="H27" s="177">
        <f t="shared" si="1"/>
        <v>181478147.55000001</v>
      </c>
      <c r="I27" s="177">
        <f t="shared" si="1"/>
        <v>190552054.92750001</v>
      </c>
      <c r="J27" s="30"/>
    </row>
    <row r="28" spans="2:10" x14ac:dyDescent="0.25">
      <c r="B28" s="205" t="s">
        <v>97</v>
      </c>
      <c r="C28" s="167">
        <f>Konsolidovaný!G31</f>
        <v>20378080</v>
      </c>
      <c r="D28" s="167">
        <f t="shared" si="0"/>
        <v>21396984</v>
      </c>
      <c r="E28" s="167">
        <f t="shared" si="0"/>
        <v>22466833.199999999</v>
      </c>
      <c r="F28" s="174" t="s">
        <v>81</v>
      </c>
      <c r="G28" s="177">
        <f>Konsolidovaný!M31</f>
        <v>535000</v>
      </c>
      <c r="H28" s="177">
        <f t="shared" si="1"/>
        <v>561750</v>
      </c>
      <c r="I28" s="177">
        <f t="shared" si="1"/>
        <v>589837.5</v>
      </c>
      <c r="J28" s="30"/>
    </row>
    <row r="29" spans="2:10" x14ac:dyDescent="0.25">
      <c r="B29" s="205" t="s">
        <v>20</v>
      </c>
      <c r="C29" s="167">
        <f>Konsolidovaný!G32</f>
        <v>325000</v>
      </c>
      <c r="D29" s="167">
        <f t="shared" si="0"/>
        <v>341250</v>
      </c>
      <c r="E29" s="167">
        <f t="shared" si="0"/>
        <v>358312.5</v>
      </c>
      <c r="F29" s="174" t="s">
        <v>230</v>
      </c>
      <c r="G29" s="177">
        <f>Konsolidovaný!M32</f>
        <v>4500000</v>
      </c>
      <c r="H29" s="177">
        <f t="shared" si="1"/>
        <v>4725000</v>
      </c>
      <c r="I29" s="177">
        <f t="shared" si="1"/>
        <v>4961250</v>
      </c>
      <c r="J29" s="30"/>
    </row>
    <row r="30" spans="2:10" x14ac:dyDescent="0.25">
      <c r="B30" s="205" t="s">
        <v>231</v>
      </c>
      <c r="C30" s="167">
        <f>Konsolidovaný!G33</f>
        <v>0</v>
      </c>
      <c r="D30" s="167">
        <f t="shared" si="0"/>
        <v>0</v>
      </c>
      <c r="E30" s="167">
        <f t="shared" si="0"/>
        <v>0</v>
      </c>
      <c r="F30" s="174" t="s">
        <v>46</v>
      </c>
      <c r="G30" s="177">
        <f>Konsolidovaný!M33</f>
        <v>117394057</v>
      </c>
      <c r="H30" s="177">
        <f t="shared" si="1"/>
        <v>123263759.85000001</v>
      </c>
      <c r="I30" s="177">
        <f t="shared" si="1"/>
        <v>129426947.84250002</v>
      </c>
      <c r="J30" s="30"/>
    </row>
    <row r="31" spans="2:10" x14ac:dyDescent="0.25">
      <c r="B31" s="183" t="s">
        <v>208</v>
      </c>
      <c r="C31" s="167">
        <f>Konsolidovaný!G34</f>
        <v>17696881.569999993</v>
      </c>
      <c r="D31" s="167">
        <f>H4-SUM(D5:D29)</f>
        <v>18543925.648500025</v>
      </c>
      <c r="E31" s="167">
        <f>I4-SUM(E5:E29)</f>
        <v>19471121.930925131</v>
      </c>
      <c r="F31" s="174" t="s">
        <v>117</v>
      </c>
      <c r="G31" s="177">
        <f>Konsolidovaný!M34</f>
        <v>314000</v>
      </c>
      <c r="H31" s="177">
        <f t="shared" si="1"/>
        <v>329700</v>
      </c>
      <c r="I31" s="177">
        <f t="shared" si="1"/>
        <v>346185</v>
      </c>
      <c r="J31" s="30"/>
    </row>
    <row r="32" spans="2:10" ht="15.75" thickBot="1" x14ac:dyDescent="0.3">
      <c r="B32" s="212" t="s">
        <v>232</v>
      </c>
      <c r="C32" s="213">
        <v>0</v>
      </c>
      <c r="D32" s="217"/>
      <c r="E32" s="217"/>
      <c r="F32" s="214" t="s">
        <v>233</v>
      </c>
      <c r="G32" s="215">
        <f>Konsolidovaný!M35</f>
        <v>380000</v>
      </c>
      <c r="H32" s="215">
        <f t="shared" si="1"/>
        <v>399000</v>
      </c>
      <c r="I32" s="215">
        <f t="shared" si="1"/>
        <v>418950</v>
      </c>
      <c r="J32" s="30"/>
    </row>
  </sheetData>
  <phoneticPr fontId="12" type="noConversion"/>
  <pageMargins left="0.7" right="0.7" top="0.78740157499999996" bottom="0.78740157499999996" header="0.3" footer="0.3"/>
  <pageSetup paperSize="9" scale="5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E6041-FFC3-435C-BA25-1D94F09728E2}">
  <sheetPr>
    <tabColor rgb="FFFFC000"/>
    <pageSetUpPr fitToPage="1"/>
  </sheetPr>
  <dimension ref="A1:C47"/>
  <sheetViews>
    <sheetView topLeftCell="A29" zoomScaleNormal="100" workbookViewId="0">
      <selection activeCell="B42" sqref="A42:B42"/>
    </sheetView>
  </sheetViews>
  <sheetFormatPr defaultColWidth="9.140625" defaultRowHeight="15" x14ac:dyDescent="0.25"/>
  <cols>
    <col min="1" max="1" width="38.85546875" customWidth="1"/>
    <col min="2" max="2" width="16.140625" bestFit="1" customWidth="1"/>
    <col min="3" max="3" width="14" bestFit="1" customWidth="1"/>
  </cols>
  <sheetData>
    <row r="1" spans="1:2" ht="16.5" thickTop="1" thickBot="1" x14ac:dyDescent="0.3">
      <c r="A1" s="47" t="s">
        <v>55</v>
      </c>
      <c r="B1" s="48" t="s">
        <v>56</v>
      </c>
    </row>
    <row r="2" spans="1:2" ht="15.75" thickBot="1" x14ac:dyDescent="0.3">
      <c r="A2" s="75" t="s">
        <v>100</v>
      </c>
      <c r="B2" s="50">
        <f>SUM(B3:B19)</f>
        <v>6440748</v>
      </c>
    </row>
    <row r="3" spans="1:2" x14ac:dyDescent="0.25">
      <c r="A3" s="27" t="s">
        <v>30</v>
      </c>
      <c r="B3" s="76">
        <v>0</v>
      </c>
    </row>
    <row r="4" spans="1:2" x14ac:dyDescent="0.25">
      <c r="A4" s="6" t="s">
        <v>11</v>
      </c>
      <c r="B4" s="7">
        <v>20000</v>
      </c>
    </row>
    <row r="5" spans="1:2" x14ac:dyDescent="0.25">
      <c r="A5" s="6" t="s">
        <v>12</v>
      </c>
      <c r="B5" s="7">
        <v>174148</v>
      </c>
    </row>
    <row r="6" spans="1:2" x14ac:dyDescent="0.25">
      <c r="A6" s="6" t="s">
        <v>13</v>
      </c>
      <c r="B6" s="7">
        <v>70000</v>
      </c>
    </row>
    <row r="7" spans="1:2" x14ac:dyDescent="0.25">
      <c r="A7" s="6" t="s">
        <v>3</v>
      </c>
      <c r="B7" s="7">
        <v>30000</v>
      </c>
    </row>
    <row r="8" spans="1:2" x14ac:dyDescent="0.25">
      <c r="A8" s="6" t="s">
        <v>14</v>
      </c>
      <c r="B8" s="7">
        <v>50000</v>
      </c>
    </row>
    <row r="9" spans="1:2" x14ac:dyDescent="0.25">
      <c r="A9" s="27" t="s">
        <v>15</v>
      </c>
      <c r="B9" s="76">
        <v>10000</v>
      </c>
    </row>
    <row r="10" spans="1:2" x14ac:dyDescent="0.25">
      <c r="A10" s="6" t="s">
        <v>6</v>
      </c>
      <c r="B10" s="7">
        <v>300000</v>
      </c>
    </row>
    <row r="11" spans="1:2" x14ac:dyDescent="0.25">
      <c r="A11" s="6" t="s">
        <v>4</v>
      </c>
      <c r="B11" s="7">
        <v>2000000</v>
      </c>
    </row>
    <row r="12" spans="1:2" x14ac:dyDescent="0.25">
      <c r="A12" s="6" t="s">
        <v>16</v>
      </c>
      <c r="B12" s="7">
        <v>1000</v>
      </c>
    </row>
    <row r="13" spans="1:2" x14ac:dyDescent="0.25">
      <c r="A13" s="6" t="s">
        <v>5</v>
      </c>
      <c r="B13" s="7">
        <v>110000</v>
      </c>
    </row>
    <row r="14" spans="1:2" x14ac:dyDescent="0.25">
      <c r="A14" s="6" t="s">
        <v>7</v>
      </c>
      <c r="B14" s="7">
        <v>20000</v>
      </c>
    </row>
    <row r="15" spans="1:2" x14ac:dyDescent="0.25">
      <c r="A15" s="8" t="s">
        <v>8</v>
      </c>
      <c r="B15" s="9">
        <v>3550000</v>
      </c>
    </row>
    <row r="16" spans="1:2" x14ac:dyDescent="0.25">
      <c r="A16" s="6" t="s">
        <v>18</v>
      </c>
      <c r="B16" s="7">
        <v>500</v>
      </c>
    </row>
    <row r="17" spans="1:3" x14ac:dyDescent="0.25">
      <c r="A17" s="6" t="s">
        <v>19</v>
      </c>
      <c r="B17" s="7">
        <v>5000</v>
      </c>
    </row>
    <row r="18" spans="1:3" x14ac:dyDescent="0.25">
      <c r="A18" s="6" t="s">
        <v>21</v>
      </c>
      <c r="B18" s="7">
        <v>100</v>
      </c>
    </row>
    <row r="19" spans="1:3" x14ac:dyDescent="0.25">
      <c r="A19" s="6" t="s">
        <v>9</v>
      </c>
      <c r="B19" s="7">
        <v>100000</v>
      </c>
    </row>
    <row r="20" spans="1:3" ht="15.75" thickBot="1" x14ac:dyDescent="0.3">
      <c r="A20" s="6"/>
      <c r="B20" s="7"/>
    </row>
    <row r="21" spans="1:3" ht="15.75" thickBot="1" x14ac:dyDescent="0.3">
      <c r="A21" s="75" t="s">
        <v>101</v>
      </c>
      <c r="B21" s="50">
        <f>SUM(B22:B26)</f>
        <v>325000</v>
      </c>
    </row>
    <row r="22" spans="1:3" x14ac:dyDescent="0.25">
      <c r="A22" s="6" t="s">
        <v>3</v>
      </c>
      <c r="B22" s="7">
        <v>3000</v>
      </c>
    </row>
    <row r="23" spans="1:3" x14ac:dyDescent="0.25">
      <c r="A23" s="6" t="s">
        <v>14</v>
      </c>
      <c r="B23" s="7">
        <v>5000</v>
      </c>
    </row>
    <row r="24" spans="1:3" x14ac:dyDescent="0.25">
      <c r="A24" s="6" t="s">
        <v>4</v>
      </c>
      <c r="B24" s="7">
        <v>80000</v>
      </c>
    </row>
    <row r="25" spans="1:3" x14ac:dyDescent="0.25">
      <c r="A25" s="8" t="s">
        <v>8</v>
      </c>
      <c r="B25" s="9">
        <v>227000</v>
      </c>
    </row>
    <row r="26" spans="1:3" x14ac:dyDescent="0.25">
      <c r="A26" s="6" t="s">
        <v>9</v>
      </c>
      <c r="B26" s="7">
        <v>10000</v>
      </c>
    </row>
    <row r="27" spans="1:3" ht="15.75" thickBot="1" x14ac:dyDescent="0.3">
      <c r="A27" s="77"/>
      <c r="B27" s="11"/>
    </row>
    <row r="28" spans="1:3" ht="15.75" thickBot="1" x14ac:dyDescent="0.3">
      <c r="A28" s="75" t="s">
        <v>102</v>
      </c>
      <c r="B28" s="50">
        <f>SUM(B29:B38)</f>
        <v>4166230</v>
      </c>
      <c r="C28" s="12"/>
    </row>
    <row r="29" spans="1:3" x14ac:dyDescent="0.25">
      <c r="A29" s="6" t="s">
        <v>11</v>
      </c>
      <c r="B29" s="28">
        <v>10000</v>
      </c>
    </row>
    <row r="30" spans="1:3" x14ac:dyDescent="0.25">
      <c r="A30" s="6" t="s">
        <v>3</v>
      </c>
      <c r="B30" s="29">
        <v>20000</v>
      </c>
    </row>
    <row r="31" spans="1:3" x14ac:dyDescent="0.25">
      <c r="A31" s="6" t="s">
        <v>14</v>
      </c>
      <c r="B31" s="29">
        <v>5000</v>
      </c>
    </row>
    <row r="32" spans="1:3" x14ac:dyDescent="0.25">
      <c r="A32" s="6" t="s">
        <v>6</v>
      </c>
      <c r="B32" s="29">
        <v>0</v>
      </c>
    </row>
    <row r="33" spans="1:2" x14ac:dyDescent="0.25">
      <c r="A33" s="6" t="s">
        <v>4</v>
      </c>
      <c r="B33" s="29">
        <v>702400</v>
      </c>
    </row>
    <row r="34" spans="1:2" x14ac:dyDescent="0.25">
      <c r="A34" s="6" t="s">
        <v>17</v>
      </c>
      <c r="B34" s="29">
        <v>350000</v>
      </c>
    </row>
    <row r="35" spans="1:2" x14ac:dyDescent="0.25">
      <c r="A35" s="6" t="s">
        <v>5</v>
      </c>
      <c r="B35" s="29">
        <v>15000</v>
      </c>
    </row>
    <row r="36" spans="1:2" x14ac:dyDescent="0.25">
      <c r="A36" s="8" t="s">
        <v>8</v>
      </c>
      <c r="B36" s="31">
        <v>5830</v>
      </c>
    </row>
    <row r="37" spans="1:2" x14ac:dyDescent="0.25">
      <c r="A37" s="6" t="s">
        <v>18</v>
      </c>
      <c r="B37" s="29">
        <v>0</v>
      </c>
    </row>
    <row r="38" spans="1:2" x14ac:dyDescent="0.25">
      <c r="A38" s="6" t="s">
        <v>103</v>
      </c>
      <c r="B38" s="29">
        <f>ÚPS!B138+ÚTT!B134+ÚZO!B130</f>
        <v>3058000</v>
      </c>
    </row>
    <row r="39" spans="1:2" s="79" customFormat="1" ht="15.75" thickBot="1" x14ac:dyDescent="0.3">
      <c r="A39" s="6"/>
      <c r="B39" s="7"/>
    </row>
    <row r="40" spans="1:2" ht="15.75" thickBot="1" x14ac:dyDescent="0.3">
      <c r="A40" s="15" t="s">
        <v>49</v>
      </c>
      <c r="B40" s="5">
        <f>B28+B21+B2</f>
        <v>10931978</v>
      </c>
    </row>
    <row r="41" spans="1:2" ht="15.75" thickBot="1" x14ac:dyDescent="0.3">
      <c r="A41" s="52" t="s">
        <v>24</v>
      </c>
      <c r="B41" s="54"/>
    </row>
    <row r="42" spans="1:2" ht="15.75" thickBot="1" x14ac:dyDescent="0.3">
      <c r="A42" s="18" t="s">
        <v>26</v>
      </c>
      <c r="B42" s="80">
        <f>B40</f>
        <v>10931978</v>
      </c>
    </row>
    <row r="43" spans="1:2" ht="15.75" thickBot="1" x14ac:dyDescent="0.3">
      <c r="A43" s="16" t="s">
        <v>28</v>
      </c>
      <c r="B43" s="81">
        <f>SUM(B42:B42)</f>
        <v>10931978</v>
      </c>
    </row>
    <row r="44" spans="1:2" ht="15.75" thickBot="1" x14ac:dyDescent="0.3">
      <c r="A44" s="22" t="s">
        <v>29</v>
      </c>
      <c r="B44" s="23">
        <v>0</v>
      </c>
    </row>
    <row r="45" spans="1:2" ht="15.75" hidden="1" thickTop="1" x14ac:dyDescent="0.25"/>
    <row r="46" spans="1:2" ht="15.75" hidden="1" thickTop="1" x14ac:dyDescent="0.25"/>
    <row r="47" spans="1:2" ht="15.75" thickTop="1" x14ac:dyDescent="0.25">
      <c r="B47" s="12"/>
    </row>
  </sheetData>
  <pageMargins left="0.25" right="0.25" top="0.75" bottom="0.75" header="0.3" footer="0.3"/>
  <pageSetup paperSize="8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8F178-266B-473E-A421-242725BA4A5C}">
  <sheetPr>
    <tabColor rgb="FFFFC000"/>
    <pageSetUpPr fitToPage="1"/>
  </sheetPr>
  <dimension ref="A1:E94"/>
  <sheetViews>
    <sheetView topLeftCell="A77" zoomScaleNormal="100" workbookViewId="0">
      <selection activeCell="A44" sqref="A44"/>
    </sheetView>
  </sheetViews>
  <sheetFormatPr defaultColWidth="12.42578125" defaultRowHeight="15" x14ac:dyDescent="0.25"/>
  <cols>
    <col min="1" max="1" width="41.42578125" customWidth="1"/>
    <col min="2" max="3" width="17.140625" customWidth="1"/>
  </cols>
  <sheetData>
    <row r="1" spans="1:5" s="57" customFormat="1" ht="38.25" customHeight="1" thickTop="1" thickBot="1" x14ac:dyDescent="0.3">
      <c r="A1" s="55" t="s">
        <v>55</v>
      </c>
      <c r="B1" s="48" t="s">
        <v>56</v>
      </c>
    </row>
    <row r="2" spans="1:5" s="57" customFormat="1" ht="16.5" thickBot="1" x14ac:dyDescent="0.3">
      <c r="A2" s="49" t="s">
        <v>104</v>
      </c>
      <c r="B2" s="50">
        <f>SUM(B3:B22)</f>
        <v>5308040</v>
      </c>
      <c r="C2" s="60"/>
      <c r="D2" s="82"/>
      <c r="E2" s="82"/>
    </row>
    <row r="3" spans="1:5" s="57" customFormat="1" ht="15.75" x14ac:dyDescent="0.25">
      <c r="A3" s="83" t="s">
        <v>30</v>
      </c>
      <c r="B3" s="7">
        <v>0</v>
      </c>
      <c r="C3" s="60"/>
    </row>
    <row r="4" spans="1:5" s="57" customFormat="1" ht="15.75" x14ac:dyDescent="0.25">
      <c r="A4" s="6" t="s">
        <v>11</v>
      </c>
      <c r="B4" s="7">
        <v>80000</v>
      </c>
      <c r="C4" s="60"/>
    </row>
    <row r="5" spans="1:5" s="57" customFormat="1" ht="15.75" x14ac:dyDescent="0.25">
      <c r="A5" s="6" t="s">
        <v>12</v>
      </c>
      <c r="B5" s="7">
        <v>65000</v>
      </c>
      <c r="C5" s="60"/>
    </row>
    <row r="6" spans="1:5" s="57" customFormat="1" ht="15.75" x14ac:dyDescent="0.25">
      <c r="A6" s="6" t="s">
        <v>13</v>
      </c>
      <c r="B6" s="7">
        <v>7000</v>
      </c>
      <c r="C6" s="60"/>
    </row>
    <row r="7" spans="1:5" s="57" customFormat="1" ht="15.75" x14ac:dyDescent="0.25">
      <c r="A7" s="6" t="s">
        <v>3</v>
      </c>
      <c r="B7" s="7">
        <v>15000</v>
      </c>
      <c r="C7" s="60"/>
    </row>
    <row r="8" spans="1:5" s="57" customFormat="1" ht="15.75" x14ac:dyDescent="0.25">
      <c r="A8" s="6" t="s">
        <v>14</v>
      </c>
      <c r="B8" s="7">
        <v>265000</v>
      </c>
      <c r="C8" s="60"/>
    </row>
    <row r="9" spans="1:5" s="57" customFormat="1" ht="15.75" x14ac:dyDescent="0.25">
      <c r="A9" s="6" t="s">
        <v>15</v>
      </c>
      <c r="B9" s="7">
        <v>15000</v>
      </c>
      <c r="C9" s="60"/>
    </row>
    <row r="10" spans="1:5" s="57" customFormat="1" ht="15.75" x14ac:dyDescent="0.25">
      <c r="A10" s="6" t="s">
        <v>6</v>
      </c>
      <c r="B10" s="7">
        <v>5000</v>
      </c>
      <c r="C10" s="60"/>
    </row>
    <row r="11" spans="1:5" s="57" customFormat="1" ht="15.75" x14ac:dyDescent="0.25">
      <c r="A11" s="6" t="s">
        <v>4</v>
      </c>
      <c r="B11" s="7">
        <v>500000</v>
      </c>
      <c r="C11" s="60"/>
    </row>
    <row r="12" spans="1:5" s="57" customFormat="1" ht="15.75" x14ac:dyDescent="0.25">
      <c r="A12" s="6" t="s">
        <v>7</v>
      </c>
      <c r="B12" s="7">
        <v>20000</v>
      </c>
      <c r="C12" s="60"/>
    </row>
    <row r="13" spans="1:5" s="57" customFormat="1" ht="15.75" x14ac:dyDescent="0.25">
      <c r="A13" s="6" t="s">
        <v>16</v>
      </c>
      <c r="B13" s="7">
        <v>0</v>
      </c>
      <c r="C13" s="60"/>
    </row>
    <row r="14" spans="1:5" s="57" customFormat="1" ht="15.75" x14ac:dyDescent="0.25">
      <c r="A14" s="6" t="s">
        <v>17</v>
      </c>
      <c r="B14" s="7">
        <v>671000</v>
      </c>
      <c r="C14" s="60"/>
      <c r="D14" s="84"/>
    </row>
    <row r="15" spans="1:5" s="57" customFormat="1" ht="15.75" x14ac:dyDescent="0.25">
      <c r="A15" s="6" t="s">
        <v>5</v>
      </c>
      <c r="B15" s="7">
        <v>5000</v>
      </c>
      <c r="C15" s="60"/>
    </row>
    <row r="16" spans="1:5" s="57" customFormat="1" ht="15.75" x14ac:dyDescent="0.25">
      <c r="A16" s="8" t="s">
        <v>8</v>
      </c>
      <c r="B16" s="9">
        <v>3200000</v>
      </c>
      <c r="C16" s="60"/>
    </row>
    <row r="17" spans="1:4" s="57" customFormat="1" ht="15.75" x14ac:dyDescent="0.25">
      <c r="A17" s="6" t="s">
        <v>18</v>
      </c>
      <c r="B17" s="7">
        <v>0</v>
      </c>
      <c r="C17" s="60"/>
    </row>
    <row r="18" spans="1:4" s="57" customFormat="1" ht="15.75" x14ac:dyDescent="0.25">
      <c r="A18" s="6" t="s">
        <v>21</v>
      </c>
      <c r="B18" s="7">
        <v>40</v>
      </c>
      <c r="C18" s="60"/>
    </row>
    <row r="19" spans="1:4" s="57" customFormat="1" ht="15.75" x14ac:dyDescent="0.25">
      <c r="A19" s="6" t="s">
        <v>20</v>
      </c>
      <c r="B19" s="7">
        <v>200000</v>
      </c>
      <c r="C19" s="60"/>
    </row>
    <row r="20" spans="1:4" s="57" customFormat="1" ht="15.75" x14ac:dyDescent="0.25">
      <c r="A20" s="6" t="s">
        <v>19</v>
      </c>
      <c r="B20" s="7">
        <v>10000</v>
      </c>
      <c r="C20" s="60"/>
    </row>
    <row r="21" spans="1:4" s="57" customFormat="1" ht="15.75" x14ac:dyDescent="0.25">
      <c r="A21" s="6" t="s">
        <v>40</v>
      </c>
      <c r="B21" s="7">
        <v>100000</v>
      </c>
      <c r="C21" s="60"/>
    </row>
    <row r="22" spans="1:4" s="57" customFormat="1" ht="15.75" x14ac:dyDescent="0.25">
      <c r="A22" s="6" t="s">
        <v>9</v>
      </c>
      <c r="B22" s="7">
        <v>150000</v>
      </c>
      <c r="C22" s="60"/>
      <c r="D22" s="60"/>
    </row>
    <row r="23" spans="1:4" s="57" customFormat="1" ht="16.5" thickBot="1" x14ac:dyDescent="0.3">
      <c r="A23" s="6"/>
      <c r="B23" s="85"/>
    </row>
    <row r="24" spans="1:4" s="57" customFormat="1" ht="16.5" thickBot="1" x14ac:dyDescent="0.3">
      <c r="A24" s="49" t="s">
        <v>105</v>
      </c>
      <c r="B24" s="50">
        <f>SUM(B25:B33)</f>
        <v>5300000</v>
      </c>
      <c r="C24" s="60"/>
    </row>
    <row r="25" spans="1:4" s="57" customFormat="1" ht="15.75" x14ac:dyDescent="0.25">
      <c r="A25" s="6" t="s">
        <v>30</v>
      </c>
      <c r="B25" s="7">
        <v>3500</v>
      </c>
      <c r="C25" s="60"/>
    </row>
    <row r="26" spans="1:4" s="57" customFormat="1" ht="15.75" x14ac:dyDescent="0.25">
      <c r="A26" s="6" t="s">
        <v>11</v>
      </c>
      <c r="B26" s="7">
        <v>90000</v>
      </c>
      <c r="C26" s="60"/>
    </row>
    <row r="27" spans="1:4" s="57" customFormat="1" ht="15.75" x14ac:dyDescent="0.25">
      <c r="A27" s="6" t="s">
        <v>14</v>
      </c>
      <c r="B27" s="7">
        <v>0</v>
      </c>
      <c r="C27" s="60"/>
    </row>
    <row r="28" spans="1:4" s="57" customFormat="1" ht="15.75" x14ac:dyDescent="0.25">
      <c r="A28" s="6" t="s">
        <v>4</v>
      </c>
      <c r="B28" s="7">
        <v>200000</v>
      </c>
      <c r="C28" s="60"/>
    </row>
    <row r="29" spans="1:4" s="57" customFormat="1" ht="15.75" x14ac:dyDescent="0.25">
      <c r="A29" s="6" t="s">
        <v>16</v>
      </c>
      <c r="B29" s="7">
        <v>0</v>
      </c>
      <c r="C29" s="60"/>
    </row>
    <row r="30" spans="1:4" s="57" customFormat="1" ht="15.75" x14ac:dyDescent="0.25">
      <c r="A30" s="6" t="s">
        <v>17</v>
      </c>
      <c r="B30" s="7">
        <v>5000000</v>
      </c>
      <c r="C30" s="60"/>
    </row>
    <row r="31" spans="1:4" s="57" customFormat="1" ht="15.75" x14ac:dyDescent="0.25">
      <c r="A31" s="6" t="s">
        <v>18</v>
      </c>
      <c r="B31" s="7">
        <v>500</v>
      </c>
      <c r="C31" s="60"/>
    </row>
    <row r="32" spans="1:4" s="57" customFormat="1" ht="15.75" x14ac:dyDescent="0.25">
      <c r="A32" s="6" t="s">
        <v>20</v>
      </c>
      <c r="B32" s="7">
        <v>5000</v>
      </c>
      <c r="C32" s="60"/>
    </row>
    <row r="33" spans="1:3" s="57" customFormat="1" ht="15.75" x14ac:dyDescent="0.25">
      <c r="A33" s="6" t="s">
        <v>9</v>
      </c>
      <c r="B33" s="7">
        <v>1000</v>
      </c>
      <c r="C33" s="60"/>
    </row>
    <row r="34" spans="1:3" s="57" customFormat="1" ht="16.5" thickBot="1" x14ac:dyDescent="0.3">
      <c r="A34" s="6"/>
      <c r="B34" s="7"/>
      <c r="C34" s="60"/>
    </row>
    <row r="35" spans="1:3" s="57" customFormat="1" ht="16.5" thickBot="1" x14ac:dyDescent="0.3">
      <c r="A35" s="49" t="s">
        <v>106</v>
      </c>
      <c r="B35" s="50">
        <f>SUM(B36:B55)</f>
        <v>3886000</v>
      </c>
      <c r="C35" s="60"/>
    </row>
    <row r="36" spans="1:3" s="57" customFormat="1" ht="15.75" x14ac:dyDescent="0.25">
      <c r="A36" s="83" t="s">
        <v>30</v>
      </c>
      <c r="B36" s="7">
        <v>5000</v>
      </c>
      <c r="C36" s="60"/>
    </row>
    <row r="37" spans="1:3" s="57" customFormat="1" ht="15.75" x14ac:dyDescent="0.25">
      <c r="A37" s="6" t="s">
        <v>11</v>
      </c>
      <c r="B37" s="7">
        <v>50000</v>
      </c>
      <c r="C37" s="60"/>
    </row>
    <row r="38" spans="1:3" s="57" customFormat="1" ht="15.75" x14ac:dyDescent="0.25">
      <c r="A38" s="6" t="s">
        <v>12</v>
      </c>
      <c r="B38" s="7">
        <v>35000</v>
      </c>
      <c r="C38" s="60"/>
    </row>
    <row r="39" spans="1:3" s="57" customFormat="1" ht="15.75" x14ac:dyDescent="0.25">
      <c r="A39" s="6" t="s">
        <v>39</v>
      </c>
      <c r="B39" s="7">
        <v>50000</v>
      </c>
      <c r="C39" s="60"/>
    </row>
    <row r="40" spans="1:3" s="57" customFormat="1" ht="15.75" x14ac:dyDescent="0.25">
      <c r="A40" s="6" t="s">
        <v>13</v>
      </c>
      <c r="B40" s="7">
        <v>15000</v>
      </c>
      <c r="C40" s="60"/>
    </row>
    <row r="41" spans="1:3" s="57" customFormat="1" ht="15.75" x14ac:dyDescent="0.25">
      <c r="A41" s="6" t="s">
        <v>3</v>
      </c>
      <c r="B41" s="7">
        <v>20000</v>
      </c>
      <c r="C41" s="87"/>
    </row>
    <row r="42" spans="1:3" s="57" customFormat="1" ht="15.75" x14ac:dyDescent="0.25">
      <c r="A42" s="6" t="s">
        <v>14</v>
      </c>
      <c r="B42" s="7">
        <v>70000</v>
      </c>
      <c r="C42" s="60"/>
    </row>
    <row r="43" spans="1:3" s="57" customFormat="1" ht="15.75" x14ac:dyDescent="0.25">
      <c r="A43" s="6" t="s">
        <v>15</v>
      </c>
      <c r="B43" s="7">
        <v>10000</v>
      </c>
      <c r="C43" s="60"/>
    </row>
    <row r="44" spans="1:3" s="57" customFormat="1" ht="15.75" x14ac:dyDescent="0.25">
      <c r="A44" s="6" t="s">
        <v>6</v>
      </c>
      <c r="B44" s="7">
        <v>50000</v>
      </c>
      <c r="C44" s="87"/>
    </row>
    <row r="45" spans="1:3" s="57" customFormat="1" ht="15.75" x14ac:dyDescent="0.25">
      <c r="A45" s="6" t="s">
        <v>4</v>
      </c>
      <c r="B45" s="7">
        <v>550000</v>
      </c>
      <c r="C45" s="60"/>
    </row>
    <row r="46" spans="1:3" s="57" customFormat="1" ht="15.75" x14ac:dyDescent="0.25">
      <c r="A46" s="6" t="s">
        <v>16</v>
      </c>
      <c r="B46" s="7">
        <v>10000</v>
      </c>
      <c r="C46" s="60"/>
    </row>
    <row r="47" spans="1:3" s="57" customFormat="1" ht="15.75" x14ac:dyDescent="0.25">
      <c r="A47" s="6" t="s">
        <v>17</v>
      </c>
      <c r="B47" s="7">
        <v>74000</v>
      </c>
      <c r="C47" s="60"/>
    </row>
    <row r="48" spans="1:3" s="57" customFormat="1" ht="15.75" x14ac:dyDescent="0.25">
      <c r="A48" s="6" t="s">
        <v>7</v>
      </c>
      <c r="B48" s="7">
        <v>15000</v>
      </c>
      <c r="C48" s="60"/>
    </row>
    <row r="49" spans="1:3" s="57" customFormat="1" ht="15.75" x14ac:dyDescent="0.25">
      <c r="A49" s="6" t="s">
        <v>5</v>
      </c>
      <c r="B49" s="7">
        <v>120000</v>
      </c>
      <c r="C49" s="60"/>
    </row>
    <row r="50" spans="1:3" s="57" customFormat="1" ht="15.75" x14ac:dyDescent="0.25">
      <c r="A50" s="8" t="s">
        <v>8</v>
      </c>
      <c r="B50" s="9">
        <v>2731000</v>
      </c>
      <c r="C50" s="60"/>
    </row>
    <row r="51" spans="1:3" s="57" customFormat="1" ht="15.75" x14ac:dyDescent="0.25">
      <c r="A51" s="6" t="s">
        <v>18</v>
      </c>
      <c r="B51" s="7">
        <v>5000</v>
      </c>
      <c r="C51" s="60"/>
    </row>
    <row r="52" spans="1:3" s="57" customFormat="1" ht="15.75" x14ac:dyDescent="0.25">
      <c r="A52" s="6" t="s">
        <v>19</v>
      </c>
      <c r="B52" s="7">
        <v>5000</v>
      </c>
      <c r="C52" s="60"/>
    </row>
    <row r="53" spans="1:3" s="57" customFormat="1" ht="15.75" x14ac:dyDescent="0.25">
      <c r="A53" s="6" t="s">
        <v>40</v>
      </c>
      <c r="B53" s="7">
        <v>0</v>
      </c>
      <c r="C53" s="60"/>
    </row>
    <row r="54" spans="1:3" s="57" customFormat="1" ht="15.75" x14ac:dyDescent="0.25">
      <c r="A54" s="6" t="s">
        <v>21</v>
      </c>
      <c r="B54" s="7">
        <v>1000</v>
      </c>
      <c r="C54" s="60"/>
    </row>
    <row r="55" spans="1:3" s="57" customFormat="1" ht="15.75" x14ac:dyDescent="0.25">
      <c r="A55" s="6" t="s">
        <v>9</v>
      </c>
      <c r="B55" s="7">
        <v>70000</v>
      </c>
      <c r="C55" s="60"/>
    </row>
    <row r="56" spans="1:3" s="57" customFormat="1" ht="16.5" thickBot="1" x14ac:dyDescent="0.3">
      <c r="A56" s="6"/>
      <c r="B56" s="7"/>
      <c r="C56" s="60"/>
    </row>
    <row r="57" spans="1:3" s="57" customFormat="1" ht="16.5" thickBot="1" x14ac:dyDescent="0.3">
      <c r="A57" s="75" t="s">
        <v>107</v>
      </c>
      <c r="B57" s="50">
        <f>SUM(B58:B63)</f>
        <v>380000</v>
      </c>
      <c r="C57" s="60"/>
    </row>
    <row r="58" spans="1:3" s="57" customFormat="1" ht="15.75" x14ac:dyDescent="0.25">
      <c r="A58" s="83" t="s">
        <v>11</v>
      </c>
      <c r="B58" s="86">
        <v>0</v>
      </c>
      <c r="C58" s="60"/>
    </row>
    <row r="59" spans="1:3" s="57" customFormat="1" ht="15.75" x14ac:dyDescent="0.25">
      <c r="A59" s="27" t="s">
        <v>3</v>
      </c>
      <c r="B59" s="76">
        <v>150000</v>
      </c>
      <c r="C59" s="60"/>
    </row>
    <row r="60" spans="1:3" s="57" customFormat="1" ht="15.75" x14ac:dyDescent="0.25">
      <c r="A60" s="6" t="s">
        <v>108</v>
      </c>
      <c r="B60" s="7">
        <v>100000</v>
      </c>
      <c r="C60" s="60"/>
    </row>
    <row r="61" spans="1:3" s="57" customFormat="1" ht="15.75" x14ac:dyDescent="0.25">
      <c r="A61" s="6" t="s">
        <v>4</v>
      </c>
      <c r="B61" s="7">
        <v>0</v>
      </c>
      <c r="C61" s="60"/>
    </row>
    <row r="62" spans="1:3" s="57" customFormat="1" ht="15.75" x14ac:dyDescent="0.25">
      <c r="A62" s="6" t="s">
        <v>17</v>
      </c>
      <c r="B62" s="7">
        <v>50000</v>
      </c>
      <c r="C62" s="60"/>
    </row>
    <row r="63" spans="1:3" s="57" customFormat="1" ht="15.75" x14ac:dyDescent="0.25">
      <c r="A63" s="6" t="s">
        <v>5</v>
      </c>
      <c r="B63" s="7">
        <v>80000</v>
      </c>
      <c r="C63" s="60"/>
    </row>
    <row r="64" spans="1:3" s="57" customFormat="1" ht="16.5" thickBot="1" x14ac:dyDescent="0.3">
      <c r="A64" s="10"/>
      <c r="B64" s="11"/>
      <c r="C64" s="60"/>
    </row>
    <row r="65" spans="1:3" s="57" customFormat="1" ht="16.5" thickBot="1" x14ac:dyDescent="0.3">
      <c r="A65" s="75" t="s">
        <v>109</v>
      </c>
      <c r="B65" s="50">
        <f>SUM(B66:B76)</f>
        <v>4680000</v>
      </c>
      <c r="C65" s="60"/>
    </row>
    <row r="66" spans="1:3" s="57" customFormat="1" ht="15.75" x14ac:dyDescent="0.25">
      <c r="A66" s="6" t="s">
        <v>30</v>
      </c>
      <c r="B66" s="7">
        <v>0</v>
      </c>
      <c r="C66" s="60"/>
    </row>
    <row r="67" spans="1:3" s="57" customFormat="1" ht="15.75" x14ac:dyDescent="0.25">
      <c r="A67" s="6" t="s">
        <v>11</v>
      </c>
      <c r="B67" s="7">
        <v>0</v>
      </c>
      <c r="C67" s="60"/>
    </row>
    <row r="68" spans="1:3" s="57" customFormat="1" ht="15.75" x14ac:dyDescent="0.25">
      <c r="A68" s="6" t="s">
        <v>3</v>
      </c>
      <c r="B68" s="7">
        <v>893900</v>
      </c>
      <c r="C68" s="60"/>
    </row>
    <row r="69" spans="1:3" s="57" customFormat="1" ht="15.75" x14ac:dyDescent="0.25">
      <c r="A69" s="6" t="s">
        <v>14</v>
      </c>
      <c r="B69" s="7">
        <v>85000</v>
      </c>
      <c r="C69" s="60"/>
    </row>
    <row r="70" spans="1:3" s="57" customFormat="1" ht="15.75" x14ac:dyDescent="0.25">
      <c r="A70" s="6" t="s">
        <v>15</v>
      </c>
      <c r="B70" s="7">
        <v>0</v>
      </c>
      <c r="C70" s="60"/>
    </row>
    <row r="71" spans="1:3" s="57" customFormat="1" ht="15.75" x14ac:dyDescent="0.25">
      <c r="A71" s="6" t="s">
        <v>6</v>
      </c>
      <c r="B71" s="7">
        <v>2000</v>
      </c>
      <c r="C71" s="60"/>
    </row>
    <row r="72" spans="1:3" s="57" customFormat="1" ht="15.75" x14ac:dyDescent="0.25">
      <c r="A72" s="6" t="s">
        <v>4</v>
      </c>
      <c r="B72" s="7">
        <v>260000</v>
      </c>
      <c r="C72" s="60"/>
    </row>
    <row r="73" spans="1:3" s="57" customFormat="1" ht="15.75" x14ac:dyDescent="0.25">
      <c r="A73" s="6" t="s">
        <v>5</v>
      </c>
      <c r="B73" s="7">
        <v>0</v>
      </c>
      <c r="C73" s="60"/>
    </row>
    <row r="74" spans="1:3" s="57" customFormat="1" ht="15.75" x14ac:dyDescent="0.25">
      <c r="A74" s="6" t="s">
        <v>110</v>
      </c>
      <c r="B74" s="7">
        <v>3402100</v>
      </c>
      <c r="C74" s="60"/>
    </row>
    <row r="75" spans="1:3" s="57" customFormat="1" ht="15.75" x14ac:dyDescent="0.25">
      <c r="A75" s="6" t="s">
        <v>19</v>
      </c>
      <c r="B75" s="7">
        <v>0</v>
      </c>
      <c r="C75" s="60"/>
    </row>
    <row r="76" spans="1:3" s="57" customFormat="1" ht="15.75" x14ac:dyDescent="0.25">
      <c r="A76" s="6" t="s">
        <v>17</v>
      </c>
      <c r="B76" s="7">
        <v>37000</v>
      </c>
      <c r="C76" s="60"/>
    </row>
    <row r="77" spans="1:3" s="57" customFormat="1" ht="16.5" thickBot="1" x14ac:dyDescent="0.3">
      <c r="A77" s="6"/>
      <c r="B77" s="7"/>
    </row>
    <row r="78" spans="1:3" s="57" customFormat="1" ht="16.5" thickBot="1" x14ac:dyDescent="0.3">
      <c r="A78" s="15" t="s">
        <v>49</v>
      </c>
      <c r="B78" s="5">
        <f>B24+B2+B35+B57+B65</f>
        <v>19554040</v>
      </c>
    </row>
    <row r="79" spans="1:3" s="57" customFormat="1" ht="16.5" thickBot="1" x14ac:dyDescent="0.3">
      <c r="A79" s="52" t="s">
        <v>24</v>
      </c>
      <c r="B79" s="54"/>
    </row>
    <row r="80" spans="1:3" s="57" customFormat="1" ht="16.5" thickBot="1" x14ac:dyDescent="0.3">
      <c r="A80" s="18" t="s">
        <v>31</v>
      </c>
      <c r="B80" s="80">
        <v>0</v>
      </c>
    </row>
    <row r="81" spans="1:4" s="57" customFormat="1" ht="16.5" thickBot="1" x14ac:dyDescent="0.3">
      <c r="A81" s="18" t="s">
        <v>27</v>
      </c>
      <c r="B81" s="80">
        <v>600000</v>
      </c>
    </row>
    <row r="82" spans="1:4" s="57" customFormat="1" ht="16.5" thickBot="1" x14ac:dyDescent="0.3">
      <c r="A82" s="88" t="s">
        <v>46</v>
      </c>
      <c r="B82" s="80">
        <v>260000</v>
      </c>
    </row>
    <row r="83" spans="1:4" s="57" customFormat="1" ht="16.5" thickBot="1" x14ac:dyDescent="0.3">
      <c r="A83" s="88" t="s">
        <v>85</v>
      </c>
      <c r="B83" s="80">
        <v>343000</v>
      </c>
    </row>
    <row r="84" spans="1:4" s="57" customFormat="1" ht="16.5" thickBot="1" x14ac:dyDescent="0.3">
      <c r="A84" s="88" t="s">
        <v>86</v>
      </c>
      <c r="B84" s="80">
        <v>390000</v>
      </c>
    </row>
    <row r="85" spans="1:4" s="57" customFormat="1" ht="16.5" thickBot="1" x14ac:dyDescent="0.3">
      <c r="A85" s="89" t="s">
        <v>111</v>
      </c>
      <c r="B85" s="46">
        <f>B78-SUM(B80:B84,B86:B91)</f>
        <v>5567040</v>
      </c>
    </row>
    <row r="86" spans="1:4" s="57" customFormat="1" ht="16.5" thickBot="1" x14ac:dyDescent="0.3">
      <c r="A86" s="89" t="s">
        <v>112</v>
      </c>
      <c r="B86" s="80">
        <f>B24</f>
        <v>5300000</v>
      </c>
    </row>
    <row r="87" spans="1:4" ht="15.75" thickBot="1" x14ac:dyDescent="0.3">
      <c r="A87" s="18" t="s">
        <v>113</v>
      </c>
      <c r="B87" s="80">
        <v>400000</v>
      </c>
    </row>
    <row r="88" spans="1:4" ht="15.75" thickBot="1" x14ac:dyDescent="0.3">
      <c r="A88" s="18" t="s">
        <v>114</v>
      </c>
      <c r="B88" s="80">
        <v>380000</v>
      </c>
    </row>
    <row r="89" spans="1:4" ht="15.75" thickBot="1" x14ac:dyDescent="0.3">
      <c r="A89" s="18" t="s">
        <v>115</v>
      </c>
      <c r="B89" s="80">
        <v>1500000</v>
      </c>
    </row>
    <row r="90" spans="1:4" ht="15.75" thickBot="1" x14ac:dyDescent="0.3">
      <c r="A90" s="18" t="s">
        <v>116</v>
      </c>
      <c r="B90" s="80">
        <v>4500000</v>
      </c>
      <c r="D90" s="12"/>
    </row>
    <row r="91" spans="1:4" ht="15.75" thickBot="1" x14ac:dyDescent="0.3">
      <c r="A91" s="18" t="s">
        <v>117</v>
      </c>
      <c r="B91" s="80">
        <v>314000</v>
      </c>
    </row>
    <row r="92" spans="1:4" s="57" customFormat="1" ht="16.5" thickBot="1" x14ac:dyDescent="0.3">
      <c r="A92" s="20" t="s">
        <v>28</v>
      </c>
      <c r="B92" s="70">
        <f>SUM(B80:B91)</f>
        <v>19554040</v>
      </c>
    </row>
    <row r="93" spans="1:4" s="57" customFormat="1" ht="16.5" thickBot="1" x14ac:dyDescent="0.3">
      <c r="A93" s="90" t="s">
        <v>29</v>
      </c>
      <c r="B93" s="23">
        <v>0</v>
      </c>
    </row>
    <row r="94" spans="1:4" s="57" customFormat="1" ht="16.5" thickTop="1" x14ac:dyDescent="0.25">
      <c r="A94"/>
      <c r="B94"/>
    </row>
  </sheetData>
  <pageMargins left="0.7" right="0.7" top="0.75" bottom="0.75" header="0.3" footer="0.3"/>
  <pageSetup paperSize="8" scale="73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16968-1026-4B16-81C8-D9435771DB66}">
  <sheetPr>
    <tabColor rgb="FFFFC000"/>
  </sheetPr>
  <dimension ref="A1:C41"/>
  <sheetViews>
    <sheetView topLeftCell="A23" zoomScaleNormal="100" workbookViewId="0">
      <selection activeCell="B38" sqref="A35:B38"/>
    </sheetView>
  </sheetViews>
  <sheetFormatPr defaultColWidth="9.140625" defaultRowHeight="15" x14ac:dyDescent="0.25"/>
  <cols>
    <col min="1" max="1" width="31.28515625" customWidth="1"/>
    <col min="2" max="2" width="17.28515625" customWidth="1"/>
    <col min="3" max="3" width="14" bestFit="1" customWidth="1"/>
  </cols>
  <sheetData>
    <row r="1" spans="1:3" ht="27.75" customHeight="1" thickBot="1" x14ac:dyDescent="0.3">
      <c r="A1" s="91" t="s">
        <v>55</v>
      </c>
      <c r="B1" s="92" t="s">
        <v>56</v>
      </c>
    </row>
    <row r="2" spans="1:3" ht="15.75" thickBot="1" x14ac:dyDescent="0.3">
      <c r="A2" s="93" t="s">
        <v>118</v>
      </c>
      <c r="B2" s="50">
        <f>SUM(B3:B19)</f>
        <v>8281000</v>
      </c>
      <c r="C2" s="12"/>
    </row>
    <row r="3" spans="1:3" x14ac:dyDescent="0.25">
      <c r="A3" s="94" t="s">
        <v>30</v>
      </c>
      <c r="B3" s="28">
        <v>5000</v>
      </c>
    </row>
    <row r="4" spans="1:3" x14ac:dyDescent="0.25">
      <c r="A4" s="94" t="s">
        <v>11</v>
      </c>
      <c r="B4" s="29">
        <v>110000</v>
      </c>
    </row>
    <row r="5" spans="1:3" x14ac:dyDescent="0.25">
      <c r="A5" s="94" t="s">
        <v>12</v>
      </c>
      <c r="B5" s="29">
        <v>0</v>
      </c>
    </row>
    <row r="6" spans="1:3" x14ac:dyDescent="0.25">
      <c r="A6" s="94" t="s">
        <v>3</v>
      </c>
      <c r="B6" s="29">
        <v>16000</v>
      </c>
    </row>
    <row r="7" spans="1:3" x14ac:dyDescent="0.25">
      <c r="A7" s="94" t="s">
        <v>14</v>
      </c>
      <c r="B7" s="29">
        <v>25000</v>
      </c>
    </row>
    <row r="8" spans="1:3" x14ac:dyDescent="0.25">
      <c r="A8" s="94" t="s">
        <v>15</v>
      </c>
      <c r="B8" s="29">
        <v>10000</v>
      </c>
    </row>
    <row r="9" spans="1:3" x14ac:dyDescent="0.25">
      <c r="A9" s="94" t="s">
        <v>6</v>
      </c>
      <c r="B9" s="29">
        <v>20000</v>
      </c>
    </row>
    <row r="10" spans="1:3" x14ac:dyDescent="0.25">
      <c r="A10" s="94" t="s">
        <v>4</v>
      </c>
      <c r="B10" s="29">
        <v>300000</v>
      </c>
    </row>
    <row r="11" spans="1:3" x14ac:dyDescent="0.25">
      <c r="A11" s="94" t="s">
        <v>16</v>
      </c>
      <c r="B11" s="29">
        <v>260000</v>
      </c>
    </row>
    <row r="12" spans="1:3" x14ac:dyDescent="0.25">
      <c r="A12" s="94" t="s">
        <v>5</v>
      </c>
      <c r="B12" s="29">
        <v>42000</v>
      </c>
    </row>
    <row r="13" spans="1:3" x14ac:dyDescent="0.25">
      <c r="A13" s="94" t="s">
        <v>7</v>
      </c>
      <c r="B13" s="29">
        <v>7000</v>
      </c>
    </row>
    <row r="14" spans="1:3" x14ac:dyDescent="0.25">
      <c r="A14" s="95" t="s">
        <v>8</v>
      </c>
      <c r="B14" s="31">
        <v>7000000</v>
      </c>
    </row>
    <row r="15" spans="1:3" x14ac:dyDescent="0.25">
      <c r="A15" s="94" t="s">
        <v>18</v>
      </c>
      <c r="B15" s="29">
        <v>1000</v>
      </c>
    </row>
    <row r="16" spans="1:3" x14ac:dyDescent="0.25">
      <c r="A16" s="94" t="s">
        <v>58</v>
      </c>
      <c r="B16" s="29">
        <v>80000</v>
      </c>
      <c r="C16" s="13" t="s">
        <v>119</v>
      </c>
    </row>
    <row r="17" spans="1:3" x14ac:dyDescent="0.25">
      <c r="A17" s="94" t="s">
        <v>19</v>
      </c>
      <c r="B17" s="29">
        <v>300000</v>
      </c>
      <c r="C17" s="13" t="s">
        <v>120</v>
      </c>
    </row>
    <row r="18" spans="1:3" x14ac:dyDescent="0.25">
      <c r="A18" s="94" t="s">
        <v>21</v>
      </c>
      <c r="B18" s="29">
        <v>0</v>
      </c>
    </row>
    <row r="19" spans="1:3" x14ac:dyDescent="0.25">
      <c r="A19" s="94" t="s">
        <v>9</v>
      </c>
      <c r="B19" s="29">
        <v>105000</v>
      </c>
    </row>
    <row r="20" spans="1:3" ht="15.75" thickBot="1" x14ac:dyDescent="0.3">
      <c r="A20" s="96"/>
      <c r="B20" s="29"/>
    </row>
    <row r="21" spans="1:3" ht="15.75" thickBot="1" x14ac:dyDescent="0.3">
      <c r="A21" s="93" t="s">
        <v>121</v>
      </c>
      <c r="B21" s="50">
        <f>SUM(B22:B31)</f>
        <v>2340000</v>
      </c>
    </row>
    <row r="22" spans="1:3" x14ac:dyDescent="0.25">
      <c r="A22" s="94" t="s">
        <v>30</v>
      </c>
      <c r="B22" s="29">
        <v>50000</v>
      </c>
    </row>
    <row r="23" spans="1:3" x14ac:dyDescent="0.25">
      <c r="A23" s="94" t="s">
        <v>11</v>
      </c>
      <c r="B23" s="29">
        <v>53000</v>
      </c>
    </row>
    <row r="24" spans="1:3" x14ac:dyDescent="0.25">
      <c r="A24" s="94" t="s">
        <v>39</v>
      </c>
      <c r="B24" s="29">
        <v>300000</v>
      </c>
    </row>
    <row r="25" spans="1:3" x14ac:dyDescent="0.25">
      <c r="A25" s="94" t="s">
        <v>13</v>
      </c>
      <c r="B25" s="29">
        <v>50000</v>
      </c>
    </row>
    <row r="26" spans="1:3" x14ac:dyDescent="0.25">
      <c r="A26" s="94" t="s">
        <v>4</v>
      </c>
      <c r="B26" s="29">
        <v>1400000</v>
      </c>
    </row>
    <row r="27" spans="1:3" x14ac:dyDescent="0.25">
      <c r="A27" s="94" t="s">
        <v>122</v>
      </c>
      <c r="B27" s="29">
        <v>1000</v>
      </c>
    </row>
    <row r="28" spans="1:3" x14ac:dyDescent="0.25">
      <c r="A28" s="95" t="s">
        <v>8</v>
      </c>
      <c r="B28" s="31">
        <v>430000</v>
      </c>
    </row>
    <row r="29" spans="1:3" x14ac:dyDescent="0.25">
      <c r="A29" s="94" t="s">
        <v>18</v>
      </c>
      <c r="B29" s="29">
        <v>40000</v>
      </c>
    </row>
    <row r="30" spans="1:3" x14ac:dyDescent="0.25">
      <c r="A30" s="94" t="s">
        <v>19</v>
      </c>
      <c r="B30" s="29">
        <v>1000</v>
      </c>
    </row>
    <row r="31" spans="1:3" x14ac:dyDescent="0.25">
      <c r="A31" s="94" t="s">
        <v>58</v>
      </c>
      <c r="B31" s="29">
        <v>15000</v>
      </c>
    </row>
    <row r="32" spans="1:3" ht="15.75" thickBot="1" x14ac:dyDescent="0.3">
      <c r="A32" s="97"/>
      <c r="B32" s="76"/>
    </row>
    <row r="33" spans="1:3" ht="15.75" thickBot="1" x14ac:dyDescent="0.3">
      <c r="A33" s="98" t="s">
        <v>49</v>
      </c>
      <c r="B33" s="5">
        <f>B21+B2</f>
        <v>10621000</v>
      </c>
    </row>
    <row r="34" spans="1:3" ht="15.75" thickBot="1" x14ac:dyDescent="0.3">
      <c r="A34" s="99" t="s">
        <v>24</v>
      </c>
      <c r="B34" s="54"/>
    </row>
    <row r="35" spans="1:3" ht="15.75" thickBot="1" x14ac:dyDescent="0.3">
      <c r="A35" s="18" t="s">
        <v>26</v>
      </c>
      <c r="B35" s="80">
        <f>B33-B36-B38</f>
        <v>8031000</v>
      </c>
    </row>
    <row r="36" spans="1:3" ht="15.75" thickBot="1" x14ac:dyDescent="0.3">
      <c r="A36" s="18" t="s">
        <v>84</v>
      </c>
      <c r="B36" s="80">
        <v>490000</v>
      </c>
      <c r="C36" s="12"/>
    </row>
    <row r="37" spans="1:3" ht="15.75" thickBot="1" x14ac:dyDescent="0.3">
      <c r="A37" s="18" t="s">
        <v>31</v>
      </c>
      <c r="B37" s="80">
        <v>0</v>
      </c>
    </row>
    <row r="38" spans="1:3" ht="15.75" thickBot="1" x14ac:dyDescent="0.3">
      <c r="A38" s="18" t="s">
        <v>123</v>
      </c>
      <c r="B38" s="80">
        <v>2100000</v>
      </c>
    </row>
    <row r="39" spans="1:3" ht="15.75" thickBot="1" x14ac:dyDescent="0.3">
      <c r="A39" s="100" t="s">
        <v>28</v>
      </c>
      <c r="B39" s="81">
        <f>SUM(B35:B38)</f>
        <v>10621000</v>
      </c>
    </row>
    <row r="40" spans="1:3" ht="15.75" thickBot="1" x14ac:dyDescent="0.3">
      <c r="A40" s="101" t="s">
        <v>29</v>
      </c>
      <c r="B40" s="23">
        <f>B39-B33</f>
        <v>0</v>
      </c>
    </row>
    <row r="41" spans="1:3" ht="15.75" thickTop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122A0-09D2-466D-97F9-A8108D8EB487}">
  <sheetPr>
    <tabColor rgb="FFFFC000"/>
  </sheetPr>
  <dimension ref="A1:D30"/>
  <sheetViews>
    <sheetView topLeftCell="A12" zoomScaleNormal="100" workbookViewId="0">
      <selection activeCell="B26" sqref="A24:B26"/>
    </sheetView>
  </sheetViews>
  <sheetFormatPr defaultColWidth="9.140625" defaultRowHeight="15" x14ac:dyDescent="0.25"/>
  <cols>
    <col min="1" max="1" width="31.28515625" customWidth="1"/>
    <col min="2" max="2" width="17.28515625" customWidth="1"/>
    <col min="3" max="3" width="14" bestFit="1" customWidth="1"/>
    <col min="6" max="6" width="15.5703125" customWidth="1"/>
  </cols>
  <sheetData>
    <row r="1" spans="1:4" ht="15.75" thickBot="1" x14ac:dyDescent="0.3">
      <c r="A1" s="55" t="s">
        <v>55</v>
      </c>
      <c r="B1" s="92" t="s">
        <v>56</v>
      </c>
    </row>
    <row r="2" spans="1:4" ht="15.75" thickBot="1" x14ac:dyDescent="0.3">
      <c r="A2" s="49" t="s">
        <v>146</v>
      </c>
      <c r="B2" s="50">
        <f>SUM(B3:B20)</f>
        <v>5704500</v>
      </c>
      <c r="C2" s="12"/>
      <c r="D2" s="13"/>
    </row>
    <row r="3" spans="1:4" x14ac:dyDescent="0.25">
      <c r="A3" s="6" t="s">
        <v>30</v>
      </c>
      <c r="B3" s="7">
        <v>200000</v>
      </c>
      <c r="C3" s="78"/>
    </row>
    <row r="4" spans="1:4" x14ac:dyDescent="0.25">
      <c r="A4" s="6" t="s">
        <v>11</v>
      </c>
      <c r="B4" s="7">
        <v>200000</v>
      </c>
      <c r="C4" s="78"/>
    </row>
    <row r="5" spans="1:4" x14ac:dyDescent="0.25">
      <c r="A5" s="6" t="s">
        <v>12</v>
      </c>
      <c r="B5" s="7">
        <v>120000</v>
      </c>
      <c r="C5" s="109"/>
      <c r="D5" s="13"/>
    </row>
    <row r="6" spans="1:4" x14ac:dyDescent="0.25">
      <c r="A6" s="6" t="s">
        <v>39</v>
      </c>
      <c r="B6" s="7">
        <v>870000</v>
      </c>
      <c r="C6" s="78"/>
    </row>
    <row r="7" spans="1:4" x14ac:dyDescent="0.25">
      <c r="A7" s="6" t="s">
        <v>13</v>
      </c>
      <c r="B7" s="7">
        <v>302400</v>
      </c>
      <c r="C7" s="78"/>
    </row>
    <row r="8" spans="1:4" x14ac:dyDescent="0.25">
      <c r="A8" s="6" t="s">
        <v>3</v>
      </c>
      <c r="B8" s="7">
        <v>1000</v>
      </c>
      <c r="C8" s="78"/>
    </row>
    <row r="9" spans="1:4" x14ac:dyDescent="0.25">
      <c r="A9" s="6" t="s">
        <v>14</v>
      </c>
      <c r="B9" s="7">
        <v>5000</v>
      </c>
      <c r="C9" s="78"/>
    </row>
    <row r="10" spans="1:4" x14ac:dyDescent="0.25">
      <c r="A10" s="6" t="s">
        <v>15</v>
      </c>
      <c r="B10" s="7">
        <v>50000</v>
      </c>
      <c r="C10" s="78"/>
    </row>
    <row r="11" spans="1:4" x14ac:dyDescent="0.25">
      <c r="A11" s="6" t="s">
        <v>4</v>
      </c>
      <c r="B11" s="7">
        <v>1900000</v>
      </c>
      <c r="C11" s="78"/>
    </row>
    <row r="12" spans="1:4" x14ac:dyDescent="0.25">
      <c r="A12" s="6" t="s">
        <v>16</v>
      </c>
      <c r="B12" s="7">
        <v>0</v>
      </c>
      <c r="C12" s="78"/>
    </row>
    <row r="13" spans="1:4" x14ac:dyDescent="0.25">
      <c r="A13" s="6" t="s">
        <v>17</v>
      </c>
      <c r="B13" s="7">
        <v>0</v>
      </c>
      <c r="C13" s="78"/>
    </row>
    <row r="14" spans="1:4" x14ac:dyDescent="0.25">
      <c r="A14" s="6" t="s">
        <v>5</v>
      </c>
      <c r="B14" s="7">
        <v>0</v>
      </c>
      <c r="C14" s="78"/>
    </row>
    <row r="15" spans="1:4" x14ac:dyDescent="0.25">
      <c r="A15" s="6" t="s">
        <v>7</v>
      </c>
      <c r="B15" s="7">
        <v>13000</v>
      </c>
      <c r="C15" s="78"/>
    </row>
    <row r="16" spans="1:4" x14ac:dyDescent="0.25">
      <c r="A16" s="8" t="s">
        <v>8</v>
      </c>
      <c r="B16" s="9">
        <v>2000000</v>
      </c>
      <c r="C16" s="78"/>
    </row>
    <row r="17" spans="1:3" x14ac:dyDescent="0.25">
      <c r="A17" s="6" t="s">
        <v>18</v>
      </c>
      <c r="B17" s="7">
        <v>2000</v>
      </c>
      <c r="C17" s="78"/>
    </row>
    <row r="18" spans="1:3" x14ac:dyDescent="0.25">
      <c r="A18" s="6" t="s">
        <v>19</v>
      </c>
      <c r="B18" s="7">
        <v>6000</v>
      </c>
      <c r="C18" s="78"/>
    </row>
    <row r="19" spans="1:3" x14ac:dyDescent="0.25">
      <c r="A19" s="6" t="s">
        <v>21</v>
      </c>
      <c r="B19" s="7">
        <v>100</v>
      </c>
      <c r="C19" s="78"/>
    </row>
    <row r="20" spans="1:3" x14ac:dyDescent="0.25">
      <c r="A20" s="6" t="s">
        <v>9</v>
      </c>
      <c r="B20" s="7">
        <v>35000</v>
      </c>
      <c r="C20" s="78"/>
    </row>
    <row r="21" spans="1:3" ht="15.75" thickBot="1" x14ac:dyDescent="0.3">
      <c r="A21" s="6"/>
      <c r="B21" s="7"/>
    </row>
    <row r="22" spans="1:3" ht="15.75" thickBot="1" x14ac:dyDescent="0.3">
      <c r="A22" s="15" t="s">
        <v>49</v>
      </c>
      <c r="B22" s="5">
        <f>B2</f>
        <v>5704500</v>
      </c>
    </row>
    <row r="23" spans="1:3" ht="15.75" thickBot="1" x14ac:dyDescent="0.3">
      <c r="A23" s="52" t="s">
        <v>24</v>
      </c>
      <c r="B23" s="54"/>
    </row>
    <row r="24" spans="1:3" ht="15.75" thickBot="1" x14ac:dyDescent="0.3">
      <c r="A24" s="18" t="s">
        <v>147</v>
      </c>
      <c r="B24" s="80">
        <v>0</v>
      </c>
    </row>
    <row r="25" spans="1:3" ht="15.75" thickBot="1" x14ac:dyDescent="0.3">
      <c r="A25" s="18" t="s">
        <v>26</v>
      </c>
      <c r="B25" s="80">
        <f>B22-B26</f>
        <v>4704500</v>
      </c>
    </row>
    <row r="26" spans="1:3" ht="15.75" thickBot="1" x14ac:dyDescent="0.3">
      <c r="A26" s="18" t="s">
        <v>31</v>
      </c>
      <c r="B26" s="80">
        <v>1000000</v>
      </c>
    </row>
    <row r="27" spans="1:3" ht="15.75" thickBot="1" x14ac:dyDescent="0.3">
      <c r="A27" s="16" t="s">
        <v>28</v>
      </c>
      <c r="B27" s="81">
        <f>SUM(B24:B26)</f>
        <v>5704500</v>
      </c>
    </row>
    <row r="28" spans="1:3" ht="15.75" thickBot="1" x14ac:dyDescent="0.3">
      <c r="A28" s="22" t="s">
        <v>29</v>
      </c>
      <c r="B28" s="23">
        <f>B27-B22</f>
        <v>0</v>
      </c>
    </row>
    <row r="29" spans="1:3" ht="15.75" hidden="1" thickTop="1" x14ac:dyDescent="0.25"/>
    <row r="30" spans="1:3" ht="15.75" thickTop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F919D-582E-4ADB-9A04-B5F3A78B09C1}">
  <sheetPr>
    <tabColor rgb="FF92D050"/>
  </sheetPr>
  <dimension ref="A1:B191"/>
  <sheetViews>
    <sheetView topLeftCell="A103" zoomScaleNormal="100" workbookViewId="0">
      <selection activeCell="E159" sqref="E159"/>
    </sheetView>
  </sheetViews>
  <sheetFormatPr defaultColWidth="9.140625" defaultRowHeight="15" x14ac:dyDescent="0.25"/>
  <cols>
    <col min="1" max="1" width="38" bestFit="1" customWidth="1"/>
    <col min="2" max="2" width="15" bestFit="1" customWidth="1"/>
  </cols>
  <sheetData>
    <row r="1" spans="1:2" ht="30.75" customHeight="1" thickBot="1" x14ac:dyDescent="0.3">
      <c r="A1" s="91" t="s">
        <v>55</v>
      </c>
      <c r="B1" s="92" t="s">
        <v>1</v>
      </c>
    </row>
    <row r="2" spans="1:2" ht="15.75" thickBot="1" x14ac:dyDescent="0.3">
      <c r="A2" s="93" t="s">
        <v>124</v>
      </c>
      <c r="B2" s="50">
        <f>SUM(B3:B13)</f>
        <v>2546500</v>
      </c>
    </row>
    <row r="3" spans="1:2" x14ac:dyDescent="0.25">
      <c r="A3" s="94" t="s">
        <v>38</v>
      </c>
      <c r="B3" s="28">
        <v>600000</v>
      </c>
    </row>
    <row r="4" spans="1:2" x14ac:dyDescent="0.25">
      <c r="A4" s="94" t="s">
        <v>11</v>
      </c>
      <c r="B4" s="29">
        <v>581000</v>
      </c>
    </row>
    <row r="5" spans="1:2" x14ac:dyDescent="0.25">
      <c r="A5" s="94" t="s">
        <v>3</v>
      </c>
      <c r="B5" s="29">
        <v>2000</v>
      </c>
    </row>
    <row r="6" spans="1:2" x14ac:dyDescent="0.25">
      <c r="A6" s="94" t="s">
        <v>14</v>
      </c>
      <c r="B6" s="29">
        <v>1000</v>
      </c>
    </row>
    <row r="7" spans="1:2" x14ac:dyDescent="0.25">
      <c r="A7" s="94" t="s">
        <v>15</v>
      </c>
      <c r="B7" s="29">
        <v>448000</v>
      </c>
    </row>
    <row r="8" spans="1:2" x14ac:dyDescent="0.25">
      <c r="A8" s="94" t="s">
        <v>4</v>
      </c>
      <c r="B8" s="29">
        <v>2000</v>
      </c>
    </row>
    <row r="9" spans="1:2" x14ac:dyDescent="0.25">
      <c r="A9" s="94" t="s">
        <v>16</v>
      </c>
      <c r="B9" s="29">
        <v>2000</v>
      </c>
    </row>
    <row r="10" spans="1:2" x14ac:dyDescent="0.25">
      <c r="A10" s="94" t="s">
        <v>7</v>
      </c>
      <c r="B10" s="29">
        <v>500</v>
      </c>
    </row>
    <row r="11" spans="1:2" x14ac:dyDescent="0.25">
      <c r="A11" s="95" t="s">
        <v>8</v>
      </c>
      <c r="B11" s="31">
        <v>880000</v>
      </c>
    </row>
    <row r="12" spans="1:2" x14ac:dyDescent="0.25">
      <c r="A12" s="94" t="s">
        <v>19</v>
      </c>
      <c r="B12" s="29">
        <v>0</v>
      </c>
    </row>
    <row r="13" spans="1:2" x14ac:dyDescent="0.25">
      <c r="A13" s="94" t="s">
        <v>9</v>
      </c>
      <c r="B13" s="29">
        <v>30000</v>
      </c>
    </row>
    <row r="14" spans="1:2" ht="15.75" thickBot="1" x14ac:dyDescent="0.3">
      <c r="A14" s="96"/>
      <c r="B14" s="29"/>
    </row>
    <row r="15" spans="1:2" ht="15.75" thickBot="1" x14ac:dyDescent="0.3">
      <c r="A15" s="93" t="s">
        <v>125</v>
      </c>
      <c r="B15" s="50">
        <f>SUM(B16:B30)</f>
        <v>5400000</v>
      </c>
    </row>
    <row r="16" spans="1:2" x14ac:dyDescent="0.25">
      <c r="A16" s="94" t="s">
        <v>30</v>
      </c>
      <c r="B16" s="28">
        <v>20000</v>
      </c>
    </row>
    <row r="17" spans="1:2" x14ac:dyDescent="0.25">
      <c r="A17" s="94" t="s">
        <v>11</v>
      </c>
      <c r="B17" s="29">
        <v>2000000</v>
      </c>
    </row>
    <row r="18" spans="1:2" x14ac:dyDescent="0.25">
      <c r="A18" s="94" t="s">
        <v>39</v>
      </c>
      <c r="B18" s="29">
        <v>380000</v>
      </c>
    </row>
    <row r="19" spans="1:2" x14ac:dyDescent="0.25">
      <c r="A19" s="94" t="s">
        <v>13</v>
      </c>
      <c r="B19" s="29">
        <v>15000</v>
      </c>
    </row>
    <row r="20" spans="1:2" x14ac:dyDescent="0.25">
      <c r="A20" s="94" t="s">
        <v>3</v>
      </c>
      <c r="B20" s="29">
        <v>1000</v>
      </c>
    </row>
    <row r="21" spans="1:2" x14ac:dyDescent="0.25">
      <c r="A21" s="94" t="s">
        <v>14</v>
      </c>
      <c r="B21" s="29">
        <v>0</v>
      </c>
    </row>
    <row r="22" spans="1:2" x14ac:dyDescent="0.25">
      <c r="A22" s="94" t="s">
        <v>15</v>
      </c>
      <c r="B22" s="29">
        <v>0</v>
      </c>
    </row>
    <row r="23" spans="1:2" x14ac:dyDescent="0.25">
      <c r="A23" s="94" t="s">
        <v>4</v>
      </c>
      <c r="B23" s="29">
        <v>40000</v>
      </c>
    </row>
    <row r="24" spans="1:2" x14ac:dyDescent="0.25">
      <c r="A24" s="94" t="s">
        <v>16</v>
      </c>
      <c r="B24" s="29">
        <v>500</v>
      </c>
    </row>
    <row r="25" spans="1:2" x14ac:dyDescent="0.25">
      <c r="A25" s="94" t="s">
        <v>5</v>
      </c>
      <c r="B25" s="29">
        <v>0</v>
      </c>
    </row>
    <row r="26" spans="1:2" x14ac:dyDescent="0.25">
      <c r="A26" s="94" t="s">
        <v>7</v>
      </c>
      <c r="B26" s="29">
        <v>2500</v>
      </c>
    </row>
    <row r="27" spans="1:2" x14ac:dyDescent="0.25">
      <c r="A27" s="95" t="s">
        <v>8</v>
      </c>
      <c r="B27" s="31">
        <v>2847000</v>
      </c>
    </row>
    <row r="28" spans="1:2" x14ac:dyDescent="0.25">
      <c r="A28" s="94" t="s">
        <v>18</v>
      </c>
      <c r="B28" s="29">
        <v>40000</v>
      </c>
    </row>
    <row r="29" spans="1:2" x14ac:dyDescent="0.25">
      <c r="A29" s="94" t="s">
        <v>19</v>
      </c>
      <c r="B29" s="29">
        <v>4000</v>
      </c>
    </row>
    <row r="30" spans="1:2" x14ac:dyDescent="0.25">
      <c r="A30" s="94" t="s">
        <v>9</v>
      </c>
      <c r="B30" s="29">
        <v>50000</v>
      </c>
    </row>
    <row r="31" spans="1:2" ht="15.75" thickBot="1" x14ac:dyDescent="0.3">
      <c r="A31" s="94"/>
      <c r="B31" s="29"/>
    </row>
    <row r="32" spans="1:2" ht="15.75" thickBot="1" x14ac:dyDescent="0.3">
      <c r="A32" s="93" t="s">
        <v>126</v>
      </c>
      <c r="B32" s="50">
        <f>SUM(B33:B50)</f>
        <v>20159000</v>
      </c>
    </row>
    <row r="33" spans="1:2" x14ac:dyDescent="0.25">
      <c r="A33" s="94" t="s">
        <v>30</v>
      </c>
      <c r="B33" s="28">
        <v>80000</v>
      </c>
    </row>
    <row r="34" spans="1:2" x14ac:dyDescent="0.25">
      <c r="A34" s="94" t="s">
        <v>11</v>
      </c>
      <c r="B34" s="29">
        <v>157000</v>
      </c>
    </row>
    <row r="35" spans="1:2" x14ac:dyDescent="0.25">
      <c r="A35" s="94" t="s">
        <v>12</v>
      </c>
      <c r="B35" s="29">
        <v>3000</v>
      </c>
    </row>
    <row r="36" spans="1:2" x14ac:dyDescent="0.25">
      <c r="A36" s="94" t="s">
        <v>39</v>
      </c>
      <c r="B36" s="29">
        <v>150000</v>
      </c>
    </row>
    <row r="37" spans="1:2" x14ac:dyDescent="0.25">
      <c r="A37" s="94" t="s">
        <v>13</v>
      </c>
      <c r="B37" s="29">
        <v>1500</v>
      </c>
    </row>
    <row r="38" spans="1:2" x14ac:dyDescent="0.25">
      <c r="A38" s="94" t="s">
        <v>14</v>
      </c>
      <c r="B38" s="29">
        <v>33000</v>
      </c>
    </row>
    <row r="39" spans="1:2" x14ac:dyDescent="0.25">
      <c r="A39" s="94" t="s">
        <v>15</v>
      </c>
      <c r="B39" s="29">
        <v>15500</v>
      </c>
    </row>
    <row r="40" spans="1:2" x14ac:dyDescent="0.25">
      <c r="A40" s="94" t="s">
        <v>4</v>
      </c>
      <c r="B40" s="29">
        <v>809000</v>
      </c>
    </row>
    <row r="41" spans="1:2" x14ac:dyDescent="0.25">
      <c r="A41" s="94" t="s">
        <v>16</v>
      </c>
      <c r="B41" s="29">
        <v>20000</v>
      </c>
    </row>
    <row r="42" spans="1:2" x14ac:dyDescent="0.25">
      <c r="A42" s="94" t="s">
        <v>17</v>
      </c>
      <c r="B42" s="29">
        <v>0</v>
      </c>
    </row>
    <row r="43" spans="1:2" x14ac:dyDescent="0.25">
      <c r="A43" s="94" t="s">
        <v>5</v>
      </c>
      <c r="B43" s="29">
        <v>1000</v>
      </c>
    </row>
    <row r="44" spans="1:2" x14ac:dyDescent="0.25">
      <c r="A44" s="94" t="s">
        <v>7</v>
      </c>
      <c r="B44" s="29">
        <v>104000</v>
      </c>
    </row>
    <row r="45" spans="1:2" x14ac:dyDescent="0.25">
      <c r="A45" s="95" t="s">
        <v>8</v>
      </c>
      <c r="B45" s="31">
        <v>0</v>
      </c>
    </row>
    <row r="46" spans="1:2" x14ac:dyDescent="0.25">
      <c r="A46" s="94" t="s">
        <v>18</v>
      </c>
      <c r="B46" s="29">
        <v>185000</v>
      </c>
    </row>
    <row r="47" spans="1:2" x14ac:dyDescent="0.25">
      <c r="A47" s="94" t="s">
        <v>58</v>
      </c>
      <c r="B47" s="29">
        <v>0</v>
      </c>
    </row>
    <row r="48" spans="1:2" x14ac:dyDescent="0.25">
      <c r="A48" s="94" t="s">
        <v>19</v>
      </c>
      <c r="B48" s="29">
        <v>0</v>
      </c>
    </row>
    <row r="49" spans="1:2" x14ac:dyDescent="0.25">
      <c r="A49" s="94" t="s">
        <v>97</v>
      </c>
      <c r="B49" s="29">
        <v>18600000</v>
      </c>
    </row>
    <row r="50" spans="1:2" x14ac:dyDescent="0.25">
      <c r="A50" s="94" t="s">
        <v>9</v>
      </c>
      <c r="B50" s="29">
        <v>0</v>
      </c>
    </row>
    <row r="51" spans="1:2" ht="15.75" thickBot="1" x14ac:dyDescent="0.3">
      <c r="A51" s="96"/>
      <c r="B51" s="29"/>
    </row>
    <row r="52" spans="1:2" ht="15.75" thickBot="1" x14ac:dyDescent="0.3">
      <c r="A52" s="93" t="s">
        <v>127</v>
      </c>
      <c r="B52" s="50">
        <f>SUM(B53:B69)</f>
        <v>15863488</v>
      </c>
    </row>
    <row r="53" spans="1:2" x14ac:dyDescent="0.25">
      <c r="A53" s="94" t="s">
        <v>30</v>
      </c>
      <c r="B53" s="28">
        <v>3209000</v>
      </c>
    </row>
    <row r="54" spans="1:2" x14ac:dyDescent="0.25">
      <c r="A54" s="94" t="s">
        <v>11</v>
      </c>
      <c r="B54" s="29">
        <v>1000000</v>
      </c>
    </row>
    <row r="55" spans="1:2" x14ac:dyDescent="0.25">
      <c r="A55" s="94" t="s">
        <v>12</v>
      </c>
      <c r="B55" s="29">
        <v>55000</v>
      </c>
    </row>
    <row r="56" spans="1:2" x14ac:dyDescent="0.25">
      <c r="A56" s="94" t="s">
        <v>39</v>
      </c>
      <c r="B56" s="29">
        <v>4000000</v>
      </c>
    </row>
    <row r="57" spans="1:2" x14ac:dyDescent="0.25">
      <c r="A57" s="94" t="s">
        <v>13</v>
      </c>
      <c r="B57" s="29">
        <f>1483050</f>
        <v>1483050</v>
      </c>
    </row>
    <row r="58" spans="1:2" x14ac:dyDescent="0.25">
      <c r="A58" s="94" t="s">
        <v>14</v>
      </c>
      <c r="B58" s="29">
        <v>118000</v>
      </c>
    </row>
    <row r="59" spans="1:2" x14ac:dyDescent="0.25">
      <c r="A59" s="94" t="s">
        <v>15</v>
      </c>
      <c r="B59" s="29">
        <v>200000</v>
      </c>
    </row>
    <row r="60" spans="1:2" x14ac:dyDescent="0.25">
      <c r="A60" s="94" t="s">
        <v>4</v>
      </c>
      <c r="B60" s="29">
        <v>924938</v>
      </c>
    </row>
    <row r="61" spans="1:2" x14ac:dyDescent="0.25">
      <c r="A61" s="94" t="s">
        <v>16</v>
      </c>
      <c r="B61" s="29">
        <v>0</v>
      </c>
    </row>
    <row r="62" spans="1:2" x14ac:dyDescent="0.25">
      <c r="A62" s="94" t="s">
        <v>5</v>
      </c>
      <c r="B62" s="29">
        <v>5000</v>
      </c>
    </row>
    <row r="63" spans="1:2" x14ac:dyDescent="0.25">
      <c r="A63" s="94" t="s">
        <v>7</v>
      </c>
      <c r="B63" s="29">
        <v>4000</v>
      </c>
    </row>
    <row r="64" spans="1:2" x14ac:dyDescent="0.25">
      <c r="A64" s="95" t="s">
        <v>8</v>
      </c>
      <c r="B64" s="31">
        <v>3834500</v>
      </c>
    </row>
    <row r="65" spans="1:2" x14ac:dyDescent="0.25">
      <c r="A65" s="94" t="s">
        <v>18</v>
      </c>
      <c r="B65" s="29">
        <v>400000</v>
      </c>
    </row>
    <row r="66" spans="1:2" x14ac:dyDescent="0.25">
      <c r="A66" s="94" t="s">
        <v>19</v>
      </c>
      <c r="B66" s="29">
        <v>5000</v>
      </c>
    </row>
    <row r="67" spans="1:2" x14ac:dyDescent="0.25">
      <c r="A67" s="94" t="s">
        <v>21</v>
      </c>
      <c r="B67" s="29">
        <v>600000</v>
      </c>
    </row>
    <row r="68" spans="1:2" x14ac:dyDescent="0.25">
      <c r="A68" s="94" t="s">
        <v>9</v>
      </c>
      <c r="B68" s="29">
        <v>25000</v>
      </c>
    </row>
    <row r="69" spans="1:2" x14ac:dyDescent="0.25">
      <c r="A69" s="94" t="s">
        <v>128</v>
      </c>
      <c r="B69" s="29">
        <v>0</v>
      </c>
    </row>
    <row r="70" spans="1:2" ht="15.75" thickBot="1" x14ac:dyDescent="0.3">
      <c r="A70" s="96"/>
      <c r="B70" s="29"/>
    </row>
    <row r="71" spans="1:2" ht="15.75" thickBot="1" x14ac:dyDescent="0.3">
      <c r="A71" s="93" t="s">
        <v>129</v>
      </c>
      <c r="B71" s="50">
        <f>SUM(B72:B88)</f>
        <v>2479000</v>
      </c>
    </row>
    <row r="72" spans="1:2" x14ac:dyDescent="0.25">
      <c r="A72" s="94" t="s">
        <v>30</v>
      </c>
      <c r="B72" s="28">
        <v>0</v>
      </c>
    </row>
    <row r="73" spans="1:2" x14ac:dyDescent="0.25">
      <c r="A73" s="94" t="s">
        <v>11</v>
      </c>
      <c r="B73" s="29">
        <v>30000</v>
      </c>
    </row>
    <row r="74" spans="1:2" x14ac:dyDescent="0.25">
      <c r="A74" s="94" t="s">
        <v>12</v>
      </c>
      <c r="B74" s="29">
        <v>60000</v>
      </c>
    </row>
    <row r="75" spans="1:2" x14ac:dyDescent="0.25">
      <c r="A75" s="94" t="s">
        <v>13</v>
      </c>
      <c r="B75" s="29">
        <v>10000</v>
      </c>
    </row>
    <row r="76" spans="1:2" x14ac:dyDescent="0.25">
      <c r="A76" s="94" t="s">
        <v>3</v>
      </c>
      <c r="B76" s="29">
        <v>10000</v>
      </c>
    </row>
    <row r="77" spans="1:2" x14ac:dyDescent="0.25">
      <c r="A77" s="94" t="s">
        <v>14</v>
      </c>
      <c r="B77" s="29">
        <v>40000</v>
      </c>
    </row>
    <row r="78" spans="1:2" x14ac:dyDescent="0.25">
      <c r="A78" s="94" t="s">
        <v>15</v>
      </c>
      <c r="B78" s="29">
        <v>100000</v>
      </c>
    </row>
    <row r="79" spans="1:2" x14ac:dyDescent="0.25">
      <c r="A79" s="94" t="s">
        <v>6</v>
      </c>
      <c r="B79" s="29">
        <v>0</v>
      </c>
    </row>
    <row r="80" spans="1:2" x14ac:dyDescent="0.25">
      <c r="A80" s="94" t="s">
        <v>4</v>
      </c>
      <c r="B80" s="29">
        <v>6000</v>
      </c>
    </row>
    <row r="81" spans="1:2" x14ac:dyDescent="0.25">
      <c r="A81" s="94" t="s">
        <v>16</v>
      </c>
      <c r="B81" s="29">
        <v>0</v>
      </c>
    </row>
    <row r="82" spans="1:2" x14ac:dyDescent="0.25">
      <c r="A82" s="94" t="s">
        <v>17</v>
      </c>
      <c r="B82" s="29">
        <v>0</v>
      </c>
    </row>
    <row r="83" spans="1:2" x14ac:dyDescent="0.25">
      <c r="A83" s="94" t="s">
        <v>5</v>
      </c>
      <c r="B83" s="29">
        <v>10000</v>
      </c>
    </row>
    <row r="84" spans="1:2" x14ac:dyDescent="0.25">
      <c r="A84" s="94" t="s">
        <v>7</v>
      </c>
      <c r="B84" s="29">
        <v>23000</v>
      </c>
    </row>
    <row r="85" spans="1:2" x14ac:dyDescent="0.25">
      <c r="A85" s="95" t="s">
        <v>8</v>
      </c>
      <c r="B85" s="31">
        <v>2160000</v>
      </c>
    </row>
    <row r="86" spans="1:2" x14ac:dyDescent="0.25">
      <c r="A86" s="94" t="s">
        <v>18</v>
      </c>
      <c r="B86" s="29">
        <v>0</v>
      </c>
    </row>
    <row r="87" spans="1:2" x14ac:dyDescent="0.25">
      <c r="A87" s="94" t="s">
        <v>19</v>
      </c>
      <c r="B87" s="29">
        <v>0</v>
      </c>
    </row>
    <row r="88" spans="1:2" x14ac:dyDescent="0.25">
      <c r="A88" s="94" t="s">
        <v>9</v>
      </c>
      <c r="B88" s="29">
        <v>30000</v>
      </c>
    </row>
    <row r="89" spans="1:2" ht="15.75" thickBot="1" x14ac:dyDescent="0.3">
      <c r="A89" s="94"/>
      <c r="B89" s="102"/>
    </row>
    <row r="90" spans="1:2" ht="15.75" thickBot="1" x14ac:dyDescent="0.3">
      <c r="A90" s="93" t="s">
        <v>130</v>
      </c>
      <c r="B90" s="50">
        <f>SUM(B91:B104)</f>
        <v>1385950</v>
      </c>
    </row>
    <row r="91" spans="1:2" x14ac:dyDescent="0.25">
      <c r="A91" s="94" t="s">
        <v>30</v>
      </c>
      <c r="B91" s="29">
        <v>10000</v>
      </c>
    </row>
    <row r="92" spans="1:2" x14ac:dyDescent="0.25">
      <c r="A92" s="94" t="s">
        <v>11</v>
      </c>
      <c r="B92" s="29">
        <v>25000</v>
      </c>
    </row>
    <row r="93" spans="1:2" x14ac:dyDescent="0.25">
      <c r="A93" s="94" t="s">
        <v>12</v>
      </c>
      <c r="B93" s="29">
        <v>70000</v>
      </c>
    </row>
    <row r="94" spans="1:2" x14ac:dyDescent="0.25">
      <c r="A94" s="94" t="s">
        <v>13</v>
      </c>
      <c r="B94" s="29">
        <v>97950</v>
      </c>
    </row>
    <row r="95" spans="1:2" x14ac:dyDescent="0.25">
      <c r="A95" s="94" t="s">
        <v>14</v>
      </c>
      <c r="B95" s="29">
        <v>4000</v>
      </c>
    </row>
    <row r="96" spans="1:2" x14ac:dyDescent="0.25">
      <c r="A96" s="94" t="s">
        <v>4</v>
      </c>
      <c r="B96" s="29">
        <v>50000</v>
      </c>
    </row>
    <row r="97" spans="1:2" x14ac:dyDescent="0.25">
      <c r="A97" s="94" t="s">
        <v>7</v>
      </c>
      <c r="B97" s="29">
        <v>2000</v>
      </c>
    </row>
    <row r="98" spans="1:2" x14ac:dyDescent="0.25">
      <c r="A98" s="94" t="s">
        <v>5</v>
      </c>
      <c r="B98" s="29">
        <v>4000</v>
      </c>
    </row>
    <row r="99" spans="1:2" x14ac:dyDescent="0.25">
      <c r="A99" s="94" t="s">
        <v>3</v>
      </c>
      <c r="B99" s="29">
        <v>5000</v>
      </c>
    </row>
    <row r="100" spans="1:2" x14ac:dyDescent="0.25">
      <c r="A100" s="95" t="s">
        <v>8</v>
      </c>
      <c r="B100" s="31">
        <v>1012000</v>
      </c>
    </row>
    <row r="101" spans="1:2" x14ac:dyDescent="0.25">
      <c r="A101" s="94" t="s">
        <v>18</v>
      </c>
      <c r="B101" s="29">
        <v>80000</v>
      </c>
    </row>
    <row r="102" spans="1:2" x14ac:dyDescent="0.25">
      <c r="A102" s="94" t="s">
        <v>19</v>
      </c>
      <c r="B102" s="29">
        <v>10000</v>
      </c>
    </row>
    <row r="103" spans="1:2" x14ac:dyDescent="0.25">
      <c r="A103" s="94" t="s">
        <v>21</v>
      </c>
      <c r="B103" s="29">
        <v>1000</v>
      </c>
    </row>
    <row r="104" spans="1:2" x14ac:dyDescent="0.25">
      <c r="A104" s="94" t="s">
        <v>9</v>
      </c>
      <c r="B104" s="29">
        <v>15000</v>
      </c>
    </row>
    <row r="105" spans="1:2" ht="15.75" thickBot="1" x14ac:dyDescent="0.3">
      <c r="A105" s="96"/>
      <c r="B105" s="29"/>
    </row>
    <row r="106" spans="1:2" ht="15.75" thickBot="1" x14ac:dyDescent="0.3">
      <c r="A106" s="93" t="s">
        <v>152</v>
      </c>
      <c r="B106" s="50">
        <f>SUM(B107:B123)</f>
        <v>2540100</v>
      </c>
    </row>
    <row r="107" spans="1:2" x14ac:dyDescent="0.25">
      <c r="A107" s="94" t="s">
        <v>30</v>
      </c>
      <c r="B107" s="28">
        <v>27000</v>
      </c>
    </row>
    <row r="108" spans="1:2" x14ac:dyDescent="0.25">
      <c r="A108" s="97" t="s">
        <v>11</v>
      </c>
      <c r="B108" s="29">
        <v>30000</v>
      </c>
    </row>
    <row r="109" spans="1:2" x14ac:dyDescent="0.25">
      <c r="A109" s="94" t="s">
        <v>12</v>
      </c>
      <c r="B109" s="29">
        <v>1500</v>
      </c>
    </row>
    <row r="110" spans="1:2" x14ac:dyDescent="0.25">
      <c r="A110" s="94" t="s">
        <v>13</v>
      </c>
      <c r="B110" s="29">
        <v>1800</v>
      </c>
    </row>
    <row r="111" spans="1:2" x14ac:dyDescent="0.25">
      <c r="A111" s="97" t="s">
        <v>3</v>
      </c>
      <c r="B111" s="29">
        <v>3000</v>
      </c>
    </row>
    <row r="112" spans="1:2" x14ac:dyDescent="0.25">
      <c r="A112" s="97" t="s">
        <v>14</v>
      </c>
      <c r="B112" s="29">
        <v>900</v>
      </c>
    </row>
    <row r="113" spans="1:2" x14ac:dyDescent="0.25">
      <c r="A113" s="97" t="s">
        <v>15</v>
      </c>
      <c r="B113" s="29">
        <v>150150</v>
      </c>
    </row>
    <row r="114" spans="1:2" x14ac:dyDescent="0.25">
      <c r="A114" s="94" t="s">
        <v>6</v>
      </c>
      <c r="B114" s="29">
        <v>15750</v>
      </c>
    </row>
    <row r="115" spans="1:2" x14ac:dyDescent="0.25">
      <c r="A115" s="94" t="s">
        <v>7</v>
      </c>
      <c r="B115" s="29">
        <v>10000</v>
      </c>
    </row>
    <row r="116" spans="1:2" x14ac:dyDescent="0.25">
      <c r="A116" s="94" t="s">
        <v>4</v>
      </c>
      <c r="B116" s="29">
        <v>129900</v>
      </c>
    </row>
    <row r="117" spans="1:2" x14ac:dyDescent="0.25">
      <c r="A117" s="97" t="s">
        <v>17</v>
      </c>
      <c r="B117" s="29">
        <v>75000</v>
      </c>
    </row>
    <row r="118" spans="1:2" x14ac:dyDescent="0.25">
      <c r="A118" s="94" t="s">
        <v>5</v>
      </c>
      <c r="B118" s="29">
        <v>38100</v>
      </c>
    </row>
    <row r="119" spans="1:2" x14ac:dyDescent="0.25">
      <c r="A119" s="95" t="s">
        <v>8</v>
      </c>
      <c r="B119" s="31">
        <v>1950000</v>
      </c>
    </row>
    <row r="120" spans="1:2" x14ac:dyDescent="0.25">
      <c r="A120" s="94" t="s">
        <v>18</v>
      </c>
      <c r="B120" s="29">
        <v>3000</v>
      </c>
    </row>
    <row r="121" spans="1:2" x14ac:dyDescent="0.25">
      <c r="A121" s="94" t="s">
        <v>19</v>
      </c>
      <c r="B121" s="29">
        <v>21000</v>
      </c>
    </row>
    <row r="122" spans="1:2" x14ac:dyDescent="0.25">
      <c r="A122" s="6" t="s">
        <v>40</v>
      </c>
      <c r="B122" s="29">
        <v>0</v>
      </c>
    </row>
    <row r="123" spans="1:2" x14ac:dyDescent="0.25">
      <c r="A123" s="94" t="s">
        <v>9</v>
      </c>
      <c r="B123" s="29">
        <v>83000</v>
      </c>
    </row>
    <row r="124" spans="1:2" ht="15.75" thickBot="1" x14ac:dyDescent="0.3">
      <c r="A124" s="96"/>
      <c r="B124" s="111"/>
    </row>
    <row r="125" spans="1:2" ht="15.75" thickBot="1" x14ac:dyDescent="0.3">
      <c r="A125" s="93" t="s">
        <v>151</v>
      </c>
      <c r="B125" s="50">
        <f>SUM(B126:B145)</f>
        <v>15585539</v>
      </c>
    </row>
    <row r="126" spans="1:2" x14ac:dyDescent="0.25">
      <c r="A126" s="94" t="s">
        <v>30</v>
      </c>
      <c r="B126" s="28">
        <v>62999.999999999993</v>
      </c>
    </row>
    <row r="127" spans="1:2" x14ac:dyDescent="0.25">
      <c r="A127" s="97" t="s">
        <v>11</v>
      </c>
      <c r="B127" s="29">
        <v>70000</v>
      </c>
    </row>
    <row r="128" spans="1:2" x14ac:dyDescent="0.25">
      <c r="A128" s="94" t="s">
        <v>12</v>
      </c>
      <c r="B128" s="29">
        <v>3500</v>
      </c>
    </row>
    <row r="129" spans="1:2" x14ac:dyDescent="0.25">
      <c r="A129" s="94" t="s">
        <v>13</v>
      </c>
      <c r="B129" s="29">
        <v>4200</v>
      </c>
    </row>
    <row r="130" spans="1:2" x14ac:dyDescent="0.25">
      <c r="A130" s="97" t="s">
        <v>3</v>
      </c>
      <c r="B130" s="29">
        <v>7000</v>
      </c>
    </row>
    <row r="131" spans="1:2" x14ac:dyDescent="0.25">
      <c r="A131" s="97" t="s">
        <v>14</v>
      </c>
      <c r="B131" s="29">
        <v>2100</v>
      </c>
    </row>
    <row r="132" spans="1:2" x14ac:dyDescent="0.25">
      <c r="A132" s="97" t="s">
        <v>15</v>
      </c>
      <c r="B132" s="29">
        <v>350350</v>
      </c>
    </row>
    <row r="133" spans="1:2" x14ac:dyDescent="0.25">
      <c r="A133" s="94" t="s">
        <v>6</v>
      </c>
      <c r="B133" s="29">
        <v>36750</v>
      </c>
    </row>
    <row r="134" spans="1:2" x14ac:dyDescent="0.25">
      <c r="A134" s="94" t="s">
        <v>7</v>
      </c>
      <c r="B134" s="29">
        <v>0</v>
      </c>
    </row>
    <row r="135" spans="1:2" x14ac:dyDescent="0.25">
      <c r="A135" s="94" t="s">
        <v>4</v>
      </c>
      <c r="B135" s="29">
        <v>303100</v>
      </c>
    </row>
    <row r="136" spans="1:2" x14ac:dyDescent="0.25">
      <c r="A136" s="97" t="s">
        <v>17</v>
      </c>
      <c r="B136" s="29">
        <v>175000</v>
      </c>
    </row>
    <row r="137" spans="1:2" x14ac:dyDescent="0.25">
      <c r="A137" s="94" t="s">
        <v>5</v>
      </c>
      <c r="B137" s="29">
        <v>88900</v>
      </c>
    </row>
    <row r="138" spans="1:2" x14ac:dyDescent="0.25">
      <c r="A138" s="95" t="s">
        <v>8</v>
      </c>
      <c r="B138" s="31">
        <v>4550000</v>
      </c>
    </row>
    <row r="139" spans="1:2" x14ac:dyDescent="0.25">
      <c r="A139" s="94" t="s">
        <v>18</v>
      </c>
      <c r="B139" s="29">
        <v>7000</v>
      </c>
    </row>
    <row r="140" spans="1:2" x14ac:dyDescent="0.25">
      <c r="A140" s="94" t="s">
        <v>19</v>
      </c>
      <c r="B140" s="29">
        <v>49000</v>
      </c>
    </row>
    <row r="141" spans="1:2" x14ac:dyDescent="0.25">
      <c r="A141" s="6" t="s">
        <v>40</v>
      </c>
      <c r="B141" s="29">
        <v>0</v>
      </c>
    </row>
    <row r="142" spans="1:2" x14ac:dyDescent="0.25">
      <c r="A142" s="94" t="s">
        <v>9</v>
      </c>
      <c r="B142" s="29">
        <v>0</v>
      </c>
    </row>
    <row r="143" spans="1:2" x14ac:dyDescent="0.25">
      <c r="A143" s="94" t="s">
        <v>131</v>
      </c>
      <c r="B143" s="29">
        <v>0</v>
      </c>
    </row>
    <row r="144" spans="1:2" x14ac:dyDescent="0.25">
      <c r="A144" s="94" t="s">
        <v>132</v>
      </c>
      <c r="B144" s="29">
        <v>6981439</v>
      </c>
    </row>
    <row r="145" spans="1:2" x14ac:dyDescent="0.25">
      <c r="A145" s="94" t="s">
        <v>133</v>
      </c>
      <c r="B145" s="29">
        <v>2894200</v>
      </c>
    </row>
    <row r="146" spans="1:2" ht="15.75" thickBot="1" x14ac:dyDescent="0.3">
      <c r="A146" s="94"/>
      <c r="B146" s="29"/>
    </row>
    <row r="147" spans="1:2" ht="15.75" thickBot="1" x14ac:dyDescent="0.3">
      <c r="A147" s="93" t="s">
        <v>134</v>
      </c>
      <c r="B147" s="50">
        <f>SUM(B148:B160)</f>
        <v>9666000</v>
      </c>
    </row>
    <row r="148" spans="1:2" x14ac:dyDescent="0.25">
      <c r="A148" s="94" t="s">
        <v>30</v>
      </c>
      <c r="B148" s="28">
        <v>832700</v>
      </c>
    </row>
    <row r="149" spans="1:2" x14ac:dyDescent="0.25">
      <c r="A149" s="94" t="s">
        <v>11</v>
      </c>
      <c r="B149" s="29">
        <v>140800</v>
      </c>
    </row>
    <row r="150" spans="1:2" x14ac:dyDescent="0.25">
      <c r="A150" s="94" t="s">
        <v>12</v>
      </c>
      <c r="B150" s="29">
        <v>0</v>
      </c>
    </row>
    <row r="151" spans="1:2" x14ac:dyDescent="0.25">
      <c r="A151" s="97" t="s">
        <v>13</v>
      </c>
      <c r="B151" s="29">
        <v>0</v>
      </c>
    </row>
    <row r="152" spans="1:2" x14ac:dyDescent="0.25">
      <c r="A152" s="97" t="s">
        <v>3</v>
      </c>
      <c r="B152" s="29">
        <v>80000</v>
      </c>
    </row>
    <row r="153" spans="1:2" x14ac:dyDescent="0.25">
      <c r="A153" s="94" t="s">
        <v>14</v>
      </c>
      <c r="B153" s="29">
        <v>1000</v>
      </c>
    </row>
    <row r="154" spans="1:2" x14ac:dyDescent="0.25">
      <c r="A154" s="97" t="s">
        <v>15</v>
      </c>
      <c r="B154" s="29">
        <v>160000</v>
      </c>
    </row>
    <row r="155" spans="1:2" x14ac:dyDescent="0.25">
      <c r="A155" s="97" t="s">
        <v>5</v>
      </c>
      <c r="B155" s="29">
        <v>45000</v>
      </c>
    </row>
    <row r="156" spans="1:2" x14ac:dyDescent="0.25">
      <c r="A156" s="97" t="s">
        <v>4</v>
      </c>
      <c r="B156" s="29">
        <v>255000</v>
      </c>
    </row>
    <row r="157" spans="1:2" x14ac:dyDescent="0.25">
      <c r="A157" s="97" t="s">
        <v>17</v>
      </c>
      <c r="B157" s="29">
        <v>150000</v>
      </c>
    </row>
    <row r="158" spans="1:2" x14ac:dyDescent="0.25">
      <c r="A158" s="95" t="s">
        <v>8</v>
      </c>
      <c r="B158" s="31">
        <v>8000000</v>
      </c>
    </row>
    <row r="159" spans="1:2" x14ac:dyDescent="0.25">
      <c r="A159" s="94" t="s">
        <v>19</v>
      </c>
      <c r="B159" s="29">
        <v>500</v>
      </c>
    </row>
    <row r="160" spans="1:2" x14ac:dyDescent="0.25">
      <c r="A160" s="94" t="s">
        <v>9</v>
      </c>
      <c r="B160" s="29">
        <v>1000</v>
      </c>
    </row>
    <row r="161" spans="1:2" ht="15.75" thickBot="1" x14ac:dyDescent="0.3">
      <c r="A161" s="103"/>
      <c r="B161" s="104"/>
    </row>
    <row r="162" spans="1:2" ht="15.75" thickBot="1" x14ac:dyDescent="0.3">
      <c r="A162" s="93" t="s">
        <v>135</v>
      </c>
      <c r="B162" s="50">
        <f>B163</f>
        <v>4298461</v>
      </c>
    </row>
    <row r="163" spans="1:2" x14ac:dyDescent="0.25">
      <c r="A163" s="105" t="s">
        <v>8</v>
      </c>
      <c r="B163" s="28">
        <v>4298461</v>
      </c>
    </row>
    <row r="164" spans="1:2" ht="15.75" thickBot="1" x14ac:dyDescent="0.3">
      <c r="A164" s="97"/>
      <c r="B164" s="106"/>
    </row>
    <row r="165" spans="1:2" ht="15.75" thickBot="1" x14ac:dyDescent="0.3">
      <c r="A165" s="93" t="s">
        <v>136</v>
      </c>
      <c r="B165" s="50">
        <f>SUM(B166:B168)</f>
        <v>850000</v>
      </c>
    </row>
    <row r="166" spans="1:2" x14ac:dyDescent="0.25">
      <c r="A166" s="94" t="s">
        <v>17</v>
      </c>
      <c r="B166" s="106">
        <v>400000</v>
      </c>
    </row>
    <row r="167" spans="1:2" x14ac:dyDescent="0.25">
      <c r="A167" s="97" t="s">
        <v>4</v>
      </c>
      <c r="B167" s="29">
        <v>100000</v>
      </c>
    </row>
    <row r="168" spans="1:2" x14ac:dyDescent="0.25">
      <c r="A168" s="95" t="s">
        <v>8</v>
      </c>
      <c r="B168" s="110">
        <v>350000</v>
      </c>
    </row>
    <row r="169" spans="1:2" ht="15.75" thickBot="1" x14ac:dyDescent="0.3">
      <c r="A169" s="97"/>
      <c r="B169" s="76"/>
    </row>
    <row r="170" spans="1:2" ht="15.75" thickBot="1" x14ac:dyDescent="0.3">
      <c r="A170" s="98" t="s">
        <v>49</v>
      </c>
      <c r="B170" s="5">
        <f>B2+B15+B32+B52+B71+B90+B125+B147+B162+B165+B106</f>
        <v>80774038</v>
      </c>
    </row>
    <row r="171" spans="1:2" ht="15.75" thickBot="1" x14ac:dyDescent="0.3">
      <c r="A171" s="34" t="s">
        <v>137</v>
      </c>
      <c r="B171" s="35">
        <v>230000</v>
      </c>
    </row>
    <row r="172" spans="1:2" ht="15.75" thickBot="1" x14ac:dyDescent="0.3">
      <c r="A172" s="34" t="s">
        <v>138</v>
      </c>
      <c r="B172" s="35">
        <v>2000000</v>
      </c>
    </row>
    <row r="173" spans="1:2" ht="15.75" thickBot="1" x14ac:dyDescent="0.3">
      <c r="A173" s="34" t="s">
        <v>139</v>
      </c>
      <c r="B173" s="35">
        <v>300000</v>
      </c>
    </row>
    <row r="174" spans="1:2" ht="15.75" thickBot="1" x14ac:dyDescent="0.3">
      <c r="A174" s="34" t="s">
        <v>150</v>
      </c>
      <c r="B174" s="35">
        <v>32370000</v>
      </c>
    </row>
    <row r="175" spans="1:2" ht="15.75" thickBot="1" x14ac:dyDescent="0.3">
      <c r="A175" s="99" t="s">
        <v>24</v>
      </c>
      <c r="B175" s="54"/>
    </row>
    <row r="176" spans="1:2" ht="15.75" thickBot="1" x14ac:dyDescent="0.3">
      <c r="A176" s="18" t="s">
        <v>26</v>
      </c>
      <c r="B176" s="80">
        <f>B170-SUM(B177:B186)</f>
        <v>29524038</v>
      </c>
    </row>
    <row r="177" spans="1:2" ht="15.75" thickBot="1" x14ac:dyDescent="0.3">
      <c r="A177" s="18" t="s">
        <v>52</v>
      </c>
      <c r="B177" s="80">
        <v>0</v>
      </c>
    </row>
    <row r="178" spans="1:2" ht="15.75" thickBot="1" x14ac:dyDescent="0.3">
      <c r="A178" s="18" t="s">
        <v>84</v>
      </c>
      <c r="B178" s="80">
        <v>2550000</v>
      </c>
    </row>
    <row r="179" spans="1:2" ht="15.75" thickBot="1" x14ac:dyDescent="0.3">
      <c r="A179" s="18" t="s">
        <v>140</v>
      </c>
      <c r="B179" s="80">
        <v>30000000</v>
      </c>
    </row>
    <row r="180" spans="1:2" ht="15.75" thickBot="1" x14ac:dyDescent="0.3">
      <c r="A180" s="18" t="s">
        <v>47</v>
      </c>
      <c r="B180" s="80">
        <v>0</v>
      </c>
    </row>
    <row r="181" spans="1:2" ht="15.75" thickBot="1" x14ac:dyDescent="0.3">
      <c r="A181" s="18" t="s">
        <v>31</v>
      </c>
      <c r="B181" s="80">
        <v>0</v>
      </c>
    </row>
    <row r="182" spans="1:2" ht="15.75" thickBot="1" x14ac:dyDescent="0.3">
      <c r="A182" s="18" t="s">
        <v>141</v>
      </c>
      <c r="B182" s="80">
        <v>1400000</v>
      </c>
    </row>
    <row r="183" spans="1:2" ht="15.75" thickBot="1" x14ac:dyDescent="0.3">
      <c r="A183" s="18" t="s">
        <v>142</v>
      </c>
      <c r="B183" s="80">
        <v>14000000</v>
      </c>
    </row>
    <row r="184" spans="1:2" ht="15.75" thickBot="1" x14ac:dyDescent="0.3">
      <c r="A184" s="18" t="s">
        <v>143</v>
      </c>
      <c r="B184" s="80">
        <v>600000</v>
      </c>
    </row>
    <row r="185" spans="1:2" ht="15.75" thickBot="1" x14ac:dyDescent="0.3">
      <c r="A185" s="18" t="s">
        <v>144</v>
      </c>
      <c r="B185" s="80">
        <v>2400000</v>
      </c>
    </row>
    <row r="186" spans="1:2" ht="15.75" thickBot="1" x14ac:dyDescent="0.3">
      <c r="A186" s="18" t="s">
        <v>145</v>
      </c>
      <c r="B186" s="80">
        <v>300000</v>
      </c>
    </row>
    <row r="187" spans="1:2" ht="15.75" thickBot="1" x14ac:dyDescent="0.3">
      <c r="A187" s="100" t="s">
        <v>28</v>
      </c>
      <c r="B187" s="81">
        <f>SUM(B176:B186)</f>
        <v>80774038</v>
      </c>
    </row>
    <row r="188" spans="1:2" ht="15.75" thickBot="1" x14ac:dyDescent="0.3">
      <c r="A188" s="101" t="s">
        <v>29</v>
      </c>
      <c r="B188" s="23">
        <f>B187-B170</f>
        <v>0</v>
      </c>
    </row>
    <row r="189" spans="1:2" ht="16.5" thickTop="1" thickBot="1" x14ac:dyDescent="0.3">
      <c r="A189" s="107" t="s">
        <v>137</v>
      </c>
      <c r="B189" s="108">
        <v>230000</v>
      </c>
    </row>
    <row r="190" spans="1:2" ht="15.75" thickBot="1" x14ac:dyDescent="0.3">
      <c r="A190" s="36" t="s">
        <v>139</v>
      </c>
      <c r="B190" s="37">
        <v>2300000</v>
      </c>
    </row>
    <row r="191" spans="1:2" ht="15.75" thickBot="1" x14ac:dyDescent="0.3">
      <c r="A191" s="36" t="s">
        <v>150</v>
      </c>
      <c r="B191" s="37">
        <v>32370000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CFFFA-3BC1-4BE5-A0E0-E6F76971751A}">
  <sheetPr>
    <tabColor rgb="FF92D050"/>
  </sheetPr>
  <dimension ref="A1:C153"/>
  <sheetViews>
    <sheetView topLeftCell="A121" zoomScaleNormal="100" workbookViewId="0">
      <selection activeCell="G132" sqref="G132"/>
    </sheetView>
  </sheetViews>
  <sheetFormatPr defaultColWidth="9.140625" defaultRowHeight="15" x14ac:dyDescent="0.25"/>
  <cols>
    <col min="1" max="1" width="40.28515625" customWidth="1"/>
    <col min="2" max="2" width="17.28515625" customWidth="1"/>
    <col min="3" max="3" width="14.7109375" bestFit="1" customWidth="1"/>
  </cols>
  <sheetData>
    <row r="1" spans="1:2" ht="33" customHeight="1" thickBot="1" x14ac:dyDescent="0.3">
      <c r="A1" s="112" t="s">
        <v>0</v>
      </c>
      <c r="B1" s="113" t="s">
        <v>1</v>
      </c>
    </row>
    <row r="2" spans="1:2" ht="15.75" thickBot="1" x14ac:dyDescent="0.3">
      <c r="A2" s="114" t="s">
        <v>155</v>
      </c>
      <c r="B2" s="115">
        <f>SUM(B3:B15)</f>
        <v>1318000</v>
      </c>
    </row>
    <row r="3" spans="1:2" ht="15" customHeight="1" x14ac:dyDescent="0.25">
      <c r="A3" s="116" t="s">
        <v>11</v>
      </c>
      <c r="B3" s="117">
        <v>10000</v>
      </c>
    </row>
    <row r="4" spans="1:2" x14ac:dyDescent="0.25">
      <c r="A4" s="118" t="s">
        <v>12</v>
      </c>
      <c r="B4" s="117">
        <v>40000</v>
      </c>
    </row>
    <row r="5" spans="1:2" ht="15" customHeight="1" x14ac:dyDescent="0.25">
      <c r="A5" s="118" t="s">
        <v>13</v>
      </c>
      <c r="B5" s="117">
        <v>10000</v>
      </c>
    </row>
    <row r="6" spans="1:2" x14ac:dyDescent="0.25">
      <c r="A6" s="118" t="s">
        <v>3</v>
      </c>
      <c r="B6" s="117">
        <v>10000</v>
      </c>
    </row>
    <row r="7" spans="1:2" x14ac:dyDescent="0.25">
      <c r="A7" s="118" t="s">
        <v>6</v>
      </c>
      <c r="B7" s="117">
        <v>0</v>
      </c>
    </row>
    <row r="8" spans="1:2" x14ac:dyDescent="0.25">
      <c r="A8" s="118" t="s">
        <v>4</v>
      </c>
      <c r="B8" s="117">
        <v>35000</v>
      </c>
    </row>
    <row r="9" spans="1:2" x14ac:dyDescent="0.25">
      <c r="A9" s="118" t="s">
        <v>5</v>
      </c>
      <c r="B9" s="117">
        <v>0</v>
      </c>
    </row>
    <row r="10" spans="1:2" x14ac:dyDescent="0.25">
      <c r="A10" s="118" t="s">
        <v>7</v>
      </c>
      <c r="B10" s="117">
        <v>10000</v>
      </c>
    </row>
    <row r="11" spans="1:2" x14ac:dyDescent="0.25">
      <c r="A11" s="119" t="s">
        <v>8</v>
      </c>
      <c r="B11" s="120">
        <v>1168000</v>
      </c>
    </row>
    <row r="12" spans="1:2" x14ac:dyDescent="0.25">
      <c r="A12" s="118" t="s">
        <v>18</v>
      </c>
      <c r="B12" s="117">
        <v>0</v>
      </c>
    </row>
    <row r="13" spans="1:2" x14ac:dyDescent="0.25">
      <c r="A13" s="118" t="s">
        <v>19</v>
      </c>
      <c r="B13" s="117">
        <v>5000</v>
      </c>
    </row>
    <row r="14" spans="1:2" x14ac:dyDescent="0.25">
      <c r="A14" s="118" t="s">
        <v>21</v>
      </c>
      <c r="B14" s="117">
        <v>0</v>
      </c>
    </row>
    <row r="15" spans="1:2" x14ac:dyDescent="0.25">
      <c r="A15" s="118" t="s">
        <v>9</v>
      </c>
      <c r="B15" s="117">
        <v>30000</v>
      </c>
    </row>
    <row r="16" spans="1:2" ht="15.75" thickBot="1" x14ac:dyDescent="0.3">
      <c r="A16" s="121"/>
      <c r="B16" s="122"/>
    </row>
    <row r="17" spans="1:3" ht="15.75" thickBot="1" x14ac:dyDescent="0.3">
      <c r="A17" s="63" t="s">
        <v>156</v>
      </c>
      <c r="B17" s="64">
        <f>SUM(B18:B37)</f>
        <v>5829680</v>
      </c>
      <c r="C17" s="12"/>
    </row>
    <row r="18" spans="1:3" ht="15" customHeight="1" x14ac:dyDescent="0.25">
      <c r="A18" s="116" t="s">
        <v>30</v>
      </c>
      <c r="B18" s="117">
        <v>0</v>
      </c>
    </row>
    <row r="19" spans="1:3" x14ac:dyDescent="0.25">
      <c r="A19" s="118" t="s">
        <v>11</v>
      </c>
      <c r="B19" s="117">
        <v>10000</v>
      </c>
    </row>
    <row r="20" spans="1:3" ht="15" customHeight="1" x14ac:dyDescent="0.25">
      <c r="A20" s="118" t="s">
        <v>12</v>
      </c>
      <c r="B20" s="117">
        <v>40000</v>
      </c>
    </row>
    <row r="21" spans="1:3" ht="15" customHeight="1" x14ac:dyDescent="0.25">
      <c r="A21" s="118" t="s">
        <v>13</v>
      </c>
      <c r="B21" s="117">
        <v>5000</v>
      </c>
    </row>
    <row r="22" spans="1:3" x14ac:dyDescent="0.25">
      <c r="A22" s="118" t="s">
        <v>14</v>
      </c>
      <c r="B22" s="117">
        <v>10000</v>
      </c>
    </row>
    <row r="23" spans="1:3" x14ac:dyDescent="0.25">
      <c r="A23" s="118" t="s">
        <v>15</v>
      </c>
      <c r="B23" s="117">
        <v>10000</v>
      </c>
    </row>
    <row r="24" spans="1:3" x14ac:dyDescent="0.25">
      <c r="A24" s="118" t="s">
        <v>6</v>
      </c>
      <c r="B24" s="117">
        <v>0</v>
      </c>
    </row>
    <row r="25" spans="1:3" x14ac:dyDescent="0.25">
      <c r="A25" s="118" t="s">
        <v>4</v>
      </c>
      <c r="B25" s="117">
        <v>0</v>
      </c>
    </row>
    <row r="26" spans="1:3" x14ac:dyDescent="0.25">
      <c r="A26" s="118" t="s">
        <v>157</v>
      </c>
      <c r="B26" s="117">
        <v>0</v>
      </c>
    </row>
    <row r="27" spans="1:3" x14ac:dyDescent="0.25">
      <c r="A27" s="118" t="s">
        <v>16</v>
      </c>
      <c r="B27" s="117">
        <v>0</v>
      </c>
    </row>
    <row r="28" spans="1:3" x14ac:dyDescent="0.25">
      <c r="A28" s="118" t="s">
        <v>17</v>
      </c>
      <c r="B28" s="117">
        <v>0</v>
      </c>
    </row>
    <row r="29" spans="1:3" x14ac:dyDescent="0.25">
      <c r="A29" s="118" t="s">
        <v>7</v>
      </c>
      <c r="B29" s="117">
        <v>5000</v>
      </c>
    </row>
    <row r="30" spans="1:3" x14ac:dyDescent="0.25">
      <c r="A30" s="118" t="s">
        <v>5</v>
      </c>
      <c r="B30" s="117">
        <v>20000</v>
      </c>
    </row>
    <row r="31" spans="1:3" x14ac:dyDescent="0.25">
      <c r="A31" s="118" t="s">
        <v>3</v>
      </c>
      <c r="B31" s="117">
        <v>50000</v>
      </c>
    </row>
    <row r="32" spans="1:3" x14ac:dyDescent="0.25">
      <c r="A32" s="119" t="s">
        <v>8</v>
      </c>
      <c r="B32" s="123">
        <f>3176000+1100000-224400</f>
        <v>4051600</v>
      </c>
    </row>
    <row r="33" spans="1:3" x14ac:dyDescent="0.25">
      <c r="A33" s="118" t="s">
        <v>18</v>
      </c>
      <c r="B33" s="117">
        <v>0</v>
      </c>
    </row>
    <row r="34" spans="1:3" x14ac:dyDescent="0.25">
      <c r="A34" s="118" t="s">
        <v>19</v>
      </c>
      <c r="B34" s="117">
        <v>0</v>
      </c>
    </row>
    <row r="35" spans="1:3" x14ac:dyDescent="0.25">
      <c r="A35" s="118" t="s">
        <v>21</v>
      </c>
      <c r="B35" s="117">
        <v>0</v>
      </c>
    </row>
    <row r="36" spans="1:3" x14ac:dyDescent="0.25">
      <c r="A36" s="6" t="s">
        <v>158</v>
      </c>
      <c r="B36" s="117">
        <v>1378080</v>
      </c>
    </row>
    <row r="37" spans="1:3" x14ac:dyDescent="0.25">
      <c r="A37" s="118" t="s">
        <v>9</v>
      </c>
      <c r="B37" s="117">
        <v>250000</v>
      </c>
    </row>
    <row r="38" spans="1:3" ht="15.75" thickBot="1" x14ac:dyDescent="0.3">
      <c r="A38" s="118"/>
      <c r="B38" s="124"/>
    </row>
    <row r="39" spans="1:3" ht="15.75" thickBot="1" x14ac:dyDescent="0.3">
      <c r="A39" s="63" t="s">
        <v>159</v>
      </c>
      <c r="B39" s="125">
        <f>SUM(B40:B53)</f>
        <v>9125000</v>
      </c>
      <c r="C39" s="12"/>
    </row>
    <row r="40" spans="1:3" ht="15" customHeight="1" x14ac:dyDescent="0.25">
      <c r="A40" s="116" t="s">
        <v>11</v>
      </c>
      <c r="B40" s="117">
        <v>21000</v>
      </c>
    </row>
    <row r="41" spans="1:3" ht="15" customHeight="1" x14ac:dyDescent="0.25">
      <c r="A41" s="118" t="s">
        <v>12</v>
      </c>
      <c r="B41" s="117">
        <v>100000</v>
      </c>
    </row>
    <row r="42" spans="1:3" ht="15" customHeight="1" x14ac:dyDescent="0.25">
      <c r="A42" s="118" t="s">
        <v>13</v>
      </c>
      <c r="B42" s="117">
        <v>10000</v>
      </c>
    </row>
    <row r="43" spans="1:3" ht="15" customHeight="1" x14ac:dyDescent="0.25">
      <c r="A43" s="116" t="s">
        <v>14</v>
      </c>
      <c r="B43" s="117">
        <v>10000</v>
      </c>
    </row>
    <row r="44" spans="1:3" x14ac:dyDescent="0.25">
      <c r="A44" s="118" t="s">
        <v>4</v>
      </c>
      <c r="B44" s="117">
        <v>100000</v>
      </c>
    </row>
    <row r="45" spans="1:3" x14ac:dyDescent="0.25">
      <c r="A45" s="118" t="s">
        <v>6</v>
      </c>
      <c r="B45" s="117">
        <v>50000</v>
      </c>
    </row>
    <row r="46" spans="1:3" x14ac:dyDescent="0.25">
      <c r="A46" s="118" t="s">
        <v>16</v>
      </c>
      <c r="B46" s="117">
        <v>0</v>
      </c>
    </row>
    <row r="47" spans="1:3" ht="15" customHeight="1" x14ac:dyDescent="0.25">
      <c r="A47" s="118" t="s">
        <v>7</v>
      </c>
      <c r="B47" s="117">
        <v>15000</v>
      </c>
    </row>
    <row r="48" spans="1:3" x14ac:dyDescent="0.25">
      <c r="A48" s="118" t="s">
        <v>5</v>
      </c>
      <c r="B48" s="117">
        <v>50000</v>
      </c>
    </row>
    <row r="49" spans="1:2" x14ac:dyDescent="0.25">
      <c r="A49" s="118" t="s">
        <v>3</v>
      </c>
      <c r="B49" s="117">
        <v>10000</v>
      </c>
    </row>
    <row r="50" spans="1:2" x14ac:dyDescent="0.25">
      <c r="A50" s="119" t="s">
        <v>8</v>
      </c>
      <c r="B50" s="126">
        <v>8525000</v>
      </c>
    </row>
    <row r="51" spans="1:2" x14ac:dyDescent="0.25">
      <c r="A51" s="118" t="s">
        <v>19</v>
      </c>
      <c r="B51" s="117">
        <v>1000</v>
      </c>
    </row>
    <row r="52" spans="1:2" x14ac:dyDescent="0.25">
      <c r="A52" s="118" t="s">
        <v>21</v>
      </c>
      <c r="B52" s="117">
        <v>1000</v>
      </c>
    </row>
    <row r="53" spans="1:2" x14ac:dyDescent="0.25">
      <c r="A53" s="118" t="s">
        <v>9</v>
      </c>
      <c r="B53" s="117">
        <v>232000</v>
      </c>
    </row>
    <row r="54" spans="1:2" ht="15.75" thickBot="1" x14ac:dyDescent="0.3">
      <c r="A54" s="118"/>
      <c r="B54" s="124"/>
    </row>
    <row r="55" spans="1:2" ht="15.75" thickBot="1" x14ac:dyDescent="0.3">
      <c r="A55" s="63" t="s">
        <v>160</v>
      </c>
      <c r="B55" s="125">
        <f>SUM(B56:B70)</f>
        <v>6396000</v>
      </c>
    </row>
    <row r="56" spans="1:2" ht="15" customHeight="1" x14ac:dyDescent="0.25">
      <c r="A56" s="116" t="s">
        <v>11</v>
      </c>
      <c r="B56" s="117">
        <v>1000</v>
      </c>
    </row>
    <row r="57" spans="1:2" ht="15" customHeight="1" x14ac:dyDescent="0.25">
      <c r="A57" s="118" t="s">
        <v>13</v>
      </c>
      <c r="B57" s="117">
        <v>0</v>
      </c>
    </row>
    <row r="58" spans="1:2" x14ac:dyDescent="0.25">
      <c r="A58" s="118" t="s">
        <v>14</v>
      </c>
      <c r="B58" s="117">
        <v>2000</v>
      </c>
    </row>
    <row r="59" spans="1:2" x14ac:dyDescent="0.25">
      <c r="A59" s="118" t="s">
        <v>15</v>
      </c>
      <c r="B59" s="117">
        <v>20000</v>
      </c>
    </row>
    <row r="60" spans="1:2" x14ac:dyDescent="0.25">
      <c r="A60" s="118" t="s">
        <v>6</v>
      </c>
      <c r="B60" s="117">
        <v>32000</v>
      </c>
    </row>
    <row r="61" spans="1:2" ht="15" customHeight="1" x14ac:dyDescent="0.25">
      <c r="A61" s="118" t="s">
        <v>4</v>
      </c>
      <c r="B61" s="117">
        <v>300000</v>
      </c>
    </row>
    <row r="62" spans="1:2" x14ac:dyDescent="0.25">
      <c r="A62" s="118" t="s">
        <v>16</v>
      </c>
      <c r="B62" s="117">
        <v>0</v>
      </c>
    </row>
    <row r="63" spans="1:2" x14ac:dyDescent="0.25">
      <c r="A63" s="118" t="s">
        <v>17</v>
      </c>
      <c r="B63" s="117">
        <v>0</v>
      </c>
    </row>
    <row r="64" spans="1:2" x14ac:dyDescent="0.25">
      <c r="A64" s="118" t="s">
        <v>7</v>
      </c>
      <c r="B64" s="117">
        <v>3000</v>
      </c>
    </row>
    <row r="65" spans="1:2" x14ac:dyDescent="0.25">
      <c r="A65" s="118" t="s">
        <v>5</v>
      </c>
      <c r="B65" s="124">
        <v>50000</v>
      </c>
    </row>
    <row r="66" spans="1:2" x14ac:dyDescent="0.25">
      <c r="A66" s="118" t="s">
        <v>3</v>
      </c>
      <c r="B66" s="124">
        <v>42000</v>
      </c>
    </row>
    <row r="67" spans="1:2" x14ac:dyDescent="0.25">
      <c r="A67" s="119" t="s">
        <v>8</v>
      </c>
      <c r="B67" s="126">
        <v>5796000</v>
      </c>
    </row>
    <row r="68" spans="1:2" x14ac:dyDescent="0.25">
      <c r="A68" s="118" t="s">
        <v>19</v>
      </c>
      <c r="B68" s="117">
        <v>50000</v>
      </c>
    </row>
    <row r="69" spans="1:2" x14ac:dyDescent="0.25">
      <c r="A69" s="118" t="s">
        <v>20</v>
      </c>
      <c r="B69" s="117">
        <v>10000</v>
      </c>
    </row>
    <row r="70" spans="1:2" x14ac:dyDescent="0.25">
      <c r="A70" s="118" t="s">
        <v>9</v>
      </c>
      <c r="B70" s="117">
        <v>90000</v>
      </c>
    </row>
    <row r="71" spans="1:2" ht="15.75" thickBot="1" x14ac:dyDescent="0.3">
      <c r="A71" s="118"/>
      <c r="B71" s="124"/>
    </row>
    <row r="72" spans="1:2" ht="24.75" thickBot="1" x14ac:dyDescent="0.3">
      <c r="A72" s="127" t="s">
        <v>161</v>
      </c>
      <c r="B72" s="125">
        <f>SUM(B73:B82)</f>
        <v>5872000</v>
      </c>
    </row>
    <row r="73" spans="1:2" ht="15" customHeight="1" x14ac:dyDescent="0.25">
      <c r="A73" s="116" t="s">
        <v>11</v>
      </c>
      <c r="B73" s="117">
        <v>10000</v>
      </c>
    </row>
    <row r="74" spans="1:2" ht="15" customHeight="1" x14ac:dyDescent="0.25">
      <c r="A74" s="118" t="s">
        <v>14</v>
      </c>
      <c r="B74" s="117">
        <v>10000</v>
      </c>
    </row>
    <row r="75" spans="1:2" x14ac:dyDescent="0.25">
      <c r="A75" s="118" t="s">
        <v>4</v>
      </c>
      <c r="B75" s="117">
        <v>50000</v>
      </c>
    </row>
    <row r="76" spans="1:2" x14ac:dyDescent="0.25">
      <c r="A76" s="118" t="s">
        <v>17</v>
      </c>
      <c r="B76" s="117">
        <v>5000</v>
      </c>
    </row>
    <row r="77" spans="1:2" ht="15" customHeight="1" x14ac:dyDescent="0.25">
      <c r="A77" s="118" t="s">
        <v>7</v>
      </c>
      <c r="B77" s="117">
        <v>5000</v>
      </c>
    </row>
    <row r="78" spans="1:2" x14ac:dyDescent="0.25">
      <c r="A78" s="118" t="s">
        <v>5</v>
      </c>
      <c r="B78" s="117">
        <v>50000</v>
      </c>
    </row>
    <row r="79" spans="1:2" x14ac:dyDescent="0.25">
      <c r="A79" s="118" t="s">
        <v>3</v>
      </c>
      <c r="B79" s="117">
        <v>10000</v>
      </c>
    </row>
    <row r="80" spans="1:2" x14ac:dyDescent="0.25">
      <c r="A80" s="119" t="s">
        <v>8</v>
      </c>
      <c r="B80" s="126">
        <v>5472000</v>
      </c>
    </row>
    <row r="81" spans="1:2" x14ac:dyDescent="0.25">
      <c r="A81" s="118" t="s">
        <v>19</v>
      </c>
      <c r="B81" s="117">
        <v>200000</v>
      </c>
    </row>
    <row r="82" spans="1:2" x14ac:dyDescent="0.25">
      <c r="A82" s="118" t="s">
        <v>9</v>
      </c>
      <c r="B82" s="124">
        <v>60000</v>
      </c>
    </row>
    <row r="83" spans="1:2" ht="15.75" thickBot="1" x14ac:dyDescent="0.3">
      <c r="A83" s="118"/>
      <c r="B83" s="124"/>
    </row>
    <row r="84" spans="1:2" ht="15.75" thickBot="1" x14ac:dyDescent="0.3">
      <c r="A84" s="63" t="s">
        <v>162</v>
      </c>
      <c r="B84" s="125">
        <f>SUM(B85:B95)</f>
        <v>4868000</v>
      </c>
    </row>
    <row r="85" spans="1:2" ht="15" customHeight="1" x14ac:dyDescent="0.25">
      <c r="A85" s="116" t="s">
        <v>11</v>
      </c>
      <c r="B85" s="124">
        <v>5000</v>
      </c>
    </row>
    <row r="86" spans="1:2" x14ac:dyDescent="0.25">
      <c r="A86" s="118" t="s">
        <v>14</v>
      </c>
      <c r="B86" s="124">
        <v>5000</v>
      </c>
    </row>
    <row r="87" spans="1:2" ht="15" customHeight="1" x14ac:dyDescent="0.25">
      <c r="A87" s="118" t="s">
        <v>4</v>
      </c>
      <c r="B87" s="117">
        <v>180000</v>
      </c>
    </row>
    <row r="88" spans="1:2" x14ac:dyDescent="0.25">
      <c r="A88" s="118" t="s">
        <v>16</v>
      </c>
      <c r="B88" s="117">
        <v>5000</v>
      </c>
    </row>
    <row r="89" spans="1:2" x14ac:dyDescent="0.25">
      <c r="A89" s="118" t="s">
        <v>17</v>
      </c>
      <c r="B89" s="117">
        <v>0</v>
      </c>
    </row>
    <row r="90" spans="1:2" x14ac:dyDescent="0.25">
      <c r="A90" s="118" t="s">
        <v>7</v>
      </c>
      <c r="B90" s="124">
        <v>5000</v>
      </c>
    </row>
    <row r="91" spans="1:2" x14ac:dyDescent="0.25">
      <c r="A91" s="118" t="s">
        <v>5</v>
      </c>
      <c r="B91" s="124">
        <v>25000</v>
      </c>
    </row>
    <row r="92" spans="1:2" x14ac:dyDescent="0.25">
      <c r="A92" s="118" t="s">
        <v>3</v>
      </c>
      <c r="B92" s="124">
        <v>10000</v>
      </c>
    </row>
    <row r="93" spans="1:2" x14ac:dyDescent="0.25">
      <c r="A93" s="119" t="s">
        <v>8</v>
      </c>
      <c r="B93" s="126">
        <v>4518000</v>
      </c>
    </row>
    <row r="94" spans="1:2" x14ac:dyDescent="0.25">
      <c r="A94" s="118" t="s">
        <v>163</v>
      </c>
      <c r="B94" s="117">
        <v>60000</v>
      </c>
    </row>
    <row r="95" spans="1:2" x14ac:dyDescent="0.25">
      <c r="A95" s="118" t="s">
        <v>9</v>
      </c>
      <c r="B95" s="117">
        <v>55000</v>
      </c>
    </row>
    <row r="96" spans="1:2" ht="15.75" thickBot="1" x14ac:dyDescent="0.3">
      <c r="A96" s="121"/>
      <c r="B96" s="128"/>
    </row>
    <row r="97" spans="1:2" ht="15.75" thickBot="1" x14ac:dyDescent="0.3">
      <c r="A97" s="63" t="s">
        <v>164</v>
      </c>
      <c r="B97" s="125">
        <f>SUM(B98:B100)</f>
        <v>201000</v>
      </c>
    </row>
    <row r="98" spans="1:2" ht="15" customHeight="1" x14ac:dyDescent="0.25">
      <c r="A98" s="116" t="s">
        <v>4</v>
      </c>
      <c r="B98" s="124">
        <v>75000</v>
      </c>
    </row>
    <row r="99" spans="1:2" x14ac:dyDescent="0.25">
      <c r="A99" s="119" t="s">
        <v>8</v>
      </c>
      <c r="B99" s="123">
        <v>51000</v>
      </c>
    </row>
    <row r="100" spans="1:2" ht="15" customHeight="1" x14ac:dyDescent="0.25">
      <c r="A100" s="118" t="s">
        <v>9</v>
      </c>
      <c r="B100" s="117">
        <v>75000</v>
      </c>
    </row>
    <row r="101" spans="1:2" ht="15.75" thickBot="1" x14ac:dyDescent="0.3">
      <c r="A101" s="118"/>
      <c r="B101" s="124"/>
    </row>
    <row r="102" spans="1:2" ht="15.75" thickBot="1" x14ac:dyDescent="0.3">
      <c r="A102" s="63" t="s">
        <v>165</v>
      </c>
      <c r="B102" s="125">
        <f>SUM(B103:B110)</f>
        <v>2023000</v>
      </c>
    </row>
    <row r="103" spans="1:2" ht="15" customHeight="1" x14ac:dyDescent="0.25">
      <c r="A103" s="116" t="s">
        <v>11</v>
      </c>
      <c r="B103" s="117">
        <v>10000</v>
      </c>
    </row>
    <row r="104" spans="1:2" ht="15" customHeight="1" x14ac:dyDescent="0.25">
      <c r="A104" s="116" t="s">
        <v>13</v>
      </c>
      <c r="B104" s="117">
        <v>5000</v>
      </c>
    </row>
    <row r="105" spans="1:2" x14ac:dyDescent="0.25">
      <c r="A105" s="118" t="s">
        <v>14</v>
      </c>
      <c r="B105" s="117">
        <v>20000</v>
      </c>
    </row>
    <row r="106" spans="1:2" x14ac:dyDescent="0.25">
      <c r="A106" s="118" t="s">
        <v>7</v>
      </c>
      <c r="B106" s="117">
        <v>2000</v>
      </c>
    </row>
    <row r="107" spans="1:2" x14ac:dyDescent="0.25">
      <c r="A107" s="118" t="s">
        <v>4</v>
      </c>
      <c r="B107" s="117">
        <v>55000</v>
      </c>
    </row>
    <row r="108" spans="1:2" x14ac:dyDescent="0.25">
      <c r="A108" s="119" t="s">
        <v>8</v>
      </c>
      <c r="B108" s="126">
        <v>1823000</v>
      </c>
    </row>
    <row r="109" spans="1:2" x14ac:dyDescent="0.25">
      <c r="A109" s="118" t="s">
        <v>19</v>
      </c>
      <c r="B109" s="117">
        <v>55000</v>
      </c>
    </row>
    <row r="110" spans="1:2" x14ac:dyDescent="0.25">
      <c r="A110" s="118" t="s">
        <v>9</v>
      </c>
      <c r="B110" s="117">
        <v>53000</v>
      </c>
    </row>
    <row r="111" spans="1:2" ht="15.75" thickBot="1" x14ac:dyDescent="0.3">
      <c r="A111" s="118"/>
      <c r="B111" s="124"/>
    </row>
    <row r="112" spans="1:2" ht="15.75" thickBot="1" x14ac:dyDescent="0.3">
      <c r="A112" s="63" t="s">
        <v>166</v>
      </c>
      <c r="B112" s="125">
        <f>SUM(B113:B119)</f>
        <v>1051000</v>
      </c>
    </row>
    <row r="113" spans="1:2" ht="15" customHeight="1" x14ac:dyDescent="0.25">
      <c r="A113" s="116" t="s">
        <v>11</v>
      </c>
      <c r="B113" s="117">
        <v>0</v>
      </c>
    </row>
    <row r="114" spans="1:2" ht="15" customHeight="1" x14ac:dyDescent="0.25">
      <c r="A114" s="118" t="s">
        <v>14</v>
      </c>
      <c r="B114" s="117">
        <v>0</v>
      </c>
    </row>
    <row r="115" spans="1:2" x14ac:dyDescent="0.25">
      <c r="A115" s="118" t="s">
        <v>7</v>
      </c>
      <c r="B115" s="117">
        <v>2000</v>
      </c>
    </row>
    <row r="116" spans="1:2" ht="15" customHeight="1" x14ac:dyDescent="0.25">
      <c r="A116" s="118" t="s">
        <v>3</v>
      </c>
      <c r="B116" s="117">
        <v>5000</v>
      </c>
    </row>
    <row r="117" spans="1:2" ht="15" customHeight="1" x14ac:dyDescent="0.25">
      <c r="A117" s="118" t="s">
        <v>4</v>
      </c>
      <c r="B117" s="117">
        <v>38000</v>
      </c>
    </row>
    <row r="118" spans="1:2" x14ac:dyDescent="0.25">
      <c r="A118" s="119" t="s">
        <v>8</v>
      </c>
      <c r="B118" s="126">
        <v>1001000</v>
      </c>
    </row>
    <row r="119" spans="1:2" x14ac:dyDescent="0.25">
      <c r="A119" s="118" t="s">
        <v>9</v>
      </c>
      <c r="B119" s="117">
        <v>5000</v>
      </c>
    </row>
    <row r="120" spans="1:2" ht="15.75" thickBot="1" x14ac:dyDescent="0.3">
      <c r="A120" s="121"/>
      <c r="B120" s="122"/>
    </row>
    <row r="121" spans="1:2" ht="15.75" thickBot="1" x14ac:dyDescent="0.3">
      <c r="A121" s="15" t="s">
        <v>49</v>
      </c>
      <c r="B121" s="5">
        <f>B2+B17+B39+B55+B72+B84+B97+B112+B102</f>
        <v>36683680</v>
      </c>
    </row>
    <row r="122" spans="1:2" ht="15.75" thickBot="1" x14ac:dyDescent="0.3">
      <c r="A122" s="52" t="s">
        <v>24</v>
      </c>
      <c r="B122" s="129"/>
    </row>
    <row r="123" spans="1:2" ht="15.75" thickBot="1" x14ac:dyDescent="0.3">
      <c r="A123" s="18" t="s">
        <v>167</v>
      </c>
      <c r="B123" s="46">
        <v>9055877</v>
      </c>
    </row>
    <row r="124" spans="1:2" ht="16.5" customHeight="1" thickBot="1" x14ac:dyDescent="0.3">
      <c r="A124" s="18" t="s">
        <v>168</v>
      </c>
      <c r="B124" s="46">
        <v>1677014</v>
      </c>
    </row>
    <row r="125" spans="1:2" ht="15.75" thickBot="1" x14ac:dyDescent="0.3">
      <c r="A125" s="18" t="s">
        <v>169</v>
      </c>
      <c r="B125" s="46">
        <v>300000</v>
      </c>
    </row>
    <row r="126" spans="1:2" ht="15.75" thickBot="1" x14ac:dyDescent="0.3">
      <c r="A126" s="18" t="s">
        <v>53</v>
      </c>
      <c r="B126" s="46">
        <v>8000000</v>
      </c>
    </row>
    <row r="127" spans="1:2" ht="15.75" thickBot="1" x14ac:dyDescent="0.3">
      <c r="A127" s="18" t="s">
        <v>170</v>
      </c>
      <c r="B127" s="46">
        <v>0</v>
      </c>
    </row>
    <row r="128" spans="1:2" ht="15.75" thickBot="1" x14ac:dyDescent="0.3">
      <c r="A128" s="18" t="s">
        <v>171</v>
      </c>
      <c r="B128" s="46">
        <v>0</v>
      </c>
    </row>
    <row r="129" spans="1:2" ht="15.75" thickBot="1" x14ac:dyDescent="0.3">
      <c r="A129" s="18" t="s">
        <v>85</v>
      </c>
      <c r="B129" s="46">
        <v>225000</v>
      </c>
    </row>
    <row r="130" spans="1:2" ht="15.75" thickBot="1" x14ac:dyDescent="0.3">
      <c r="A130" s="18" t="s">
        <v>46</v>
      </c>
      <c r="B130" s="46">
        <v>1247709</v>
      </c>
    </row>
    <row r="131" spans="1:2" ht="15.75" thickBot="1" x14ac:dyDescent="0.3">
      <c r="A131" s="18" t="s">
        <v>172</v>
      </c>
      <c r="B131" s="46">
        <v>0</v>
      </c>
    </row>
    <row r="132" spans="1:2" ht="15.75" thickBot="1" x14ac:dyDescent="0.3">
      <c r="A132" s="18" t="s">
        <v>47</v>
      </c>
      <c r="B132" s="46">
        <v>4000000</v>
      </c>
    </row>
    <row r="133" spans="1:2" ht="15.75" thickBot="1" x14ac:dyDescent="0.3">
      <c r="A133" s="18" t="s">
        <v>173</v>
      </c>
      <c r="B133" s="46">
        <v>200000</v>
      </c>
    </row>
    <row r="134" spans="1:2" ht="15.75" thickBot="1" x14ac:dyDescent="0.3">
      <c r="A134" s="18" t="s">
        <v>174</v>
      </c>
      <c r="B134" s="46">
        <v>1378080</v>
      </c>
    </row>
    <row r="135" spans="1:2" ht="15.75" thickBot="1" x14ac:dyDescent="0.3">
      <c r="A135" s="18" t="s">
        <v>50</v>
      </c>
      <c r="B135" s="46">
        <v>0</v>
      </c>
    </row>
    <row r="136" spans="1:2" ht="15.75" thickBot="1" x14ac:dyDescent="0.3">
      <c r="A136" s="18" t="s">
        <v>175</v>
      </c>
      <c r="B136" s="46">
        <v>0</v>
      </c>
    </row>
    <row r="137" spans="1:2" ht="15.75" thickBot="1" x14ac:dyDescent="0.3">
      <c r="A137" s="18" t="s">
        <v>31</v>
      </c>
      <c r="B137" s="46">
        <v>9500000</v>
      </c>
    </row>
    <row r="138" spans="1:2" ht="15.75" thickBot="1" x14ac:dyDescent="0.3">
      <c r="A138" s="18" t="s">
        <v>176</v>
      </c>
      <c r="B138" s="46">
        <v>1100000</v>
      </c>
    </row>
    <row r="139" spans="1:2" ht="15.75" thickBot="1" x14ac:dyDescent="0.3">
      <c r="A139" s="16" t="s">
        <v>28</v>
      </c>
      <c r="B139" s="54">
        <f>SUM(B123:B138)</f>
        <v>36683680</v>
      </c>
    </row>
    <row r="140" spans="1:2" ht="15.75" thickBot="1" x14ac:dyDescent="0.3">
      <c r="A140" s="22" t="s">
        <v>29</v>
      </c>
      <c r="B140" s="23">
        <f>B139-B121</f>
        <v>0</v>
      </c>
    </row>
    <row r="141" spans="1:2" ht="15.75" thickTop="1" x14ac:dyDescent="0.25">
      <c r="B141" s="12"/>
    </row>
    <row r="142" spans="1:2" x14ac:dyDescent="0.25">
      <c r="B142" s="12"/>
    </row>
    <row r="143" spans="1:2" x14ac:dyDescent="0.25">
      <c r="B143" s="12"/>
    </row>
    <row r="144" spans="1:2" x14ac:dyDescent="0.25">
      <c r="B144" s="12"/>
    </row>
    <row r="145" spans="2:2" x14ac:dyDescent="0.25">
      <c r="B145" s="12"/>
    </row>
    <row r="146" spans="2:2" x14ac:dyDescent="0.25">
      <c r="B146" s="12"/>
    </row>
    <row r="147" spans="2:2" x14ac:dyDescent="0.25">
      <c r="B147" s="12"/>
    </row>
    <row r="148" spans="2:2" x14ac:dyDescent="0.25">
      <c r="B148" s="12"/>
    </row>
    <row r="149" spans="2:2" x14ac:dyDescent="0.25">
      <c r="B149" s="12"/>
    </row>
    <row r="150" spans="2:2" x14ac:dyDescent="0.25">
      <c r="B150" s="12"/>
    </row>
    <row r="151" spans="2:2" x14ac:dyDescent="0.25">
      <c r="B151" s="12"/>
    </row>
    <row r="153" spans="2:2" x14ac:dyDescent="0.25">
      <c r="B153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34572-A3B0-441D-804E-D9C2ADB7F406}">
  <sheetPr>
    <tabColor rgb="FF92D050"/>
    <pageSetUpPr fitToPage="1"/>
  </sheetPr>
  <dimension ref="A1:D141"/>
  <sheetViews>
    <sheetView topLeftCell="A124" zoomScaleNormal="100" workbookViewId="0">
      <selection activeCell="D42" sqref="D42"/>
    </sheetView>
  </sheetViews>
  <sheetFormatPr defaultColWidth="8.85546875" defaultRowHeight="15" x14ac:dyDescent="0.25"/>
  <cols>
    <col min="1" max="1" width="41.42578125" customWidth="1"/>
    <col min="2" max="2" width="16.140625" customWidth="1"/>
    <col min="4" max="4" width="15.140625" bestFit="1" customWidth="1"/>
  </cols>
  <sheetData>
    <row r="1" spans="1:2" ht="16.5" thickTop="1" thickBot="1" x14ac:dyDescent="0.3">
      <c r="A1" s="112" t="s">
        <v>0</v>
      </c>
      <c r="B1" s="48" t="s">
        <v>1</v>
      </c>
    </row>
    <row r="2" spans="1:2" ht="15.75" thickBot="1" x14ac:dyDescent="0.3">
      <c r="A2" s="114" t="s">
        <v>177</v>
      </c>
      <c r="B2" s="64">
        <f>SUM(B3:B14)</f>
        <v>1382000</v>
      </c>
    </row>
    <row r="3" spans="1:2" x14ac:dyDescent="0.25">
      <c r="A3" s="6" t="s">
        <v>11</v>
      </c>
      <c r="B3" s="131">
        <v>10000</v>
      </c>
    </row>
    <row r="4" spans="1:2" x14ac:dyDescent="0.25">
      <c r="A4" s="6" t="s">
        <v>12</v>
      </c>
      <c r="B4" s="131">
        <v>70000</v>
      </c>
    </row>
    <row r="5" spans="1:2" x14ac:dyDescent="0.25">
      <c r="A5" s="6" t="s">
        <v>13</v>
      </c>
      <c r="B5" s="131">
        <v>30000</v>
      </c>
    </row>
    <row r="6" spans="1:2" x14ac:dyDescent="0.25">
      <c r="A6" s="6" t="s">
        <v>3</v>
      </c>
      <c r="B6" s="131">
        <v>20000</v>
      </c>
    </row>
    <row r="7" spans="1:2" x14ac:dyDescent="0.25">
      <c r="A7" s="6" t="s">
        <v>14</v>
      </c>
      <c r="B7" s="131">
        <v>0</v>
      </c>
    </row>
    <row r="8" spans="1:2" x14ac:dyDescent="0.25">
      <c r="A8" s="6" t="s">
        <v>4</v>
      </c>
      <c r="B8" s="131">
        <v>5000</v>
      </c>
    </row>
    <row r="9" spans="1:2" x14ac:dyDescent="0.25">
      <c r="A9" s="6" t="s">
        <v>7</v>
      </c>
      <c r="B9" s="131">
        <v>10000</v>
      </c>
    </row>
    <row r="10" spans="1:2" x14ac:dyDescent="0.25">
      <c r="A10" s="8" t="s">
        <v>8</v>
      </c>
      <c r="B10" s="132">
        <v>1203900</v>
      </c>
    </row>
    <row r="11" spans="1:2" x14ac:dyDescent="0.25">
      <c r="A11" s="6" t="s">
        <v>18</v>
      </c>
      <c r="B11" s="131">
        <v>0</v>
      </c>
    </row>
    <row r="12" spans="1:2" x14ac:dyDescent="0.25">
      <c r="A12" s="6" t="s">
        <v>21</v>
      </c>
      <c r="B12" s="131">
        <v>100</v>
      </c>
    </row>
    <row r="13" spans="1:2" x14ac:dyDescent="0.25">
      <c r="A13" s="6" t="s">
        <v>19</v>
      </c>
      <c r="B13" s="131">
        <v>3000</v>
      </c>
    </row>
    <row r="14" spans="1:2" x14ac:dyDescent="0.25">
      <c r="A14" s="6" t="s">
        <v>9</v>
      </c>
      <c r="B14" s="131">
        <v>30000</v>
      </c>
    </row>
    <row r="15" spans="1:2" ht="15.75" thickBot="1" x14ac:dyDescent="0.3">
      <c r="A15" s="10"/>
      <c r="B15" s="133"/>
    </row>
    <row r="16" spans="1:2" ht="15.75" thickBot="1" x14ac:dyDescent="0.3">
      <c r="A16" s="63" t="s">
        <v>178</v>
      </c>
      <c r="B16" s="64">
        <f>SUM(B17:B34)</f>
        <v>13863000</v>
      </c>
    </row>
    <row r="17" spans="1:2" x14ac:dyDescent="0.25">
      <c r="A17" s="6" t="s">
        <v>30</v>
      </c>
      <c r="B17" s="131">
        <v>400000</v>
      </c>
    </row>
    <row r="18" spans="1:2" x14ac:dyDescent="0.25">
      <c r="A18" s="6" t="s">
        <v>11</v>
      </c>
      <c r="B18" s="131">
        <v>1600000</v>
      </c>
    </row>
    <row r="19" spans="1:2" x14ac:dyDescent="0.25">
      <c r="A19" s="6" t="s">
        <v>12</v>
      </c>
      <c r="B19" s="131">
        <v>0</v>
      </c>
    </row>
    <row r="20" spans="1:2" x14ac:dyDescent="0.25">
      <c r="A20" s="6" t="s">
        <v>13</v>
      </c>
      <c r="B20" s="131">
        <v>45000</v>
      </c>
    </row>
    <row r="21" spans="1:2" x14ac:dyDescent="0.25">
      <c r="A21" s="6" t="s">
        <v>3</v>
      </c>
      <c r="B21" s="131">
        <v>25000</v>
      </c>
    </row>
    <row r="22" spans="1:2" x14ac:dyDescent="0.25">
      <c r="A22" s="6" t="s">
        <v>14</v>
      </c>
      <c r="B22" s="131">
        <v>75000</v>
      </c>
    </row>
    <row r="23" spans="1:2" x14ac:dyDescent="0.25">
      <c r="A23" s="6" t="s">
        <v>15</v>
      </c>
      <c r="B23" s="131">
        <v>240000</v>
      </c>
    </row>
    <row r="24" spans="1:2" x14ac:dyDescent="0.25">
      <c r="A24" s="6" t="s">
        <v>6</v>
      </c>
      <c r="B24" s="131">
        <v>50000</v>
      </c>
    </row>
    <row r="25" spans="1:2" x14ac:dyDescent="0.25">
      <c r="A25" s="6" t="s">
        <v>4</v>
      </c>
      <c r="B25" s="131">
        <v>200000</v>
      </c>
    </row>
    <row r="26" spans="1:2" x14ac:dyDescent="0.25">
      <c r="A26" s="6" t="s">
        <v>16</v>
      </c>
      <c r="B26" s="131">
        <v>0</v>
      </c>
    </row>
    <row r="27" spans="1:2" x14ac:dyDescent="0.25">
      <c r="A27" s="6" t="s">
        <v>5</v>
      </c>
      <c r="B27" s="131">
        <v>200000</v>
      </c>
    </row>
    <row r="28" spans="1:2" x14ac:dyDescent="0.25">
      <c r="A28" s="6" t="s">
        <v>7</v>
      </c>
      <c r="B28" s="131">
        <v>1000</v>
      </c>
    </row>
    <row r="29" spans="1:2" x14ac:dyDescent="0.25">
      <c r="A29" s="8" t="s">
        <v>8</v>
      </c>
      <c r="B29" s="132">
        <f>9390000+702000</f>
        <v>10092000</v>
      </c>
    </row>
    <row r="30" spans="1:2" x14ac:dyDescent="0.25">
      <c r="A30" s="6" t="s">
        <v>18</v>
      </c>
      <c r="B30" s="131">
        <v>5000</v>
      </c>
    </row>
    <row r="31" spans="1:2" x14ac:dyDescent="0.25">
      <c r="A31" s="6" t="s">
        <v>19</v>
      </c>
      <c r="B31" s="131">
        <v>0</v>
      </c>
    </row>
    <row r="32" spans="1:2" x14ac:dyDescent="0.25">
      <c r="A32" s="6" t="s">
        <v>40</v>
      </c>
      <c r="B32" s="134">
        <v>800000</v>
      </c>
    </row>
    <row r="33" spans="1:2" x14ac:dyDescent="0.25">
      <c r="A33" s="6" t="s">
        <v>97</v>
      </c>
      <c r="B33" s="131">
        <v>0</v>
      </c>
    </row>
    <row r="34" spans="1:2" x14ac:dyDescent="0.25">
      <c r="A34" s="6" t="s">
        <v>9</v>
      </c>
      <c r="B34" s="131">
        <v>130000</v>
      </c>
    </row>
    <row r="35" spans="1:2" ht="15.75" thickBot="1" x14ac:dyDescent="0.3">
      <c r="A35" s="10"/>
      <c r="B35" s="135"/>
    </row>
    <row r="36" spans="1:2" ht="15.75" thickBot="1" x14ac:dyDescent="0.3">
      <c r="A36" s="63" t="s">
        <v>179</v>
      </c>
      <c r="B36" s="64">
        <f>SUM(B37:B53)</f>
        <v>6411780.8265774706</v>
      </c>
    </row>
    <row r="37" spans="1:2" x14ac:dyDescent="0.25">
      <c r="A37" s="6" t="s">
        <v>30</v>
      </c>
      <c r="B37" s="131">
        <v>0</v>
      </c>
    </row>
    <row r="38" spans="1:2" x14ac:dyDescent="0.25">
      <c r="A38" s="6" t="s">
        <v>11</v>
      </c>
      <c r="B38" s="131">
        <v>70000</v>
      </c>
    </row>
    <row r="39" spans="1:2" x14ac:dyDescent="0.25">
      <c r="A39" s="6" t="s">
        <v>12</v>
      </c>
      <c r="B39" s="131">
        <v>0</v>
      </c>
    </row>
    <row r="40" spans="1:2" x14ac:dyDescent="0.25">
      <c r="A40" s="6" t="s">
        <v>13</v>
      </c>
      <c r="B40" s="131">
        <v>0</v>
      </c>
    </row>
    <row r="41" spans="1:2" x14ac:dyDescent="0.25">
      <c r="A41" s="6" t="s">
        <v>3</v>
      </c>
      <c r="B41" s="131">
        <v>20000</v>
      </c>
    </row>
    <row r="42" spans="1:2" x14ac:dyDescent="0.25">
      <c r="A42" s="6" t="s">
        <v>14</v>
      </c>
      <c r="B42" s="131">
        <v>0</v>
      </c>
    </row>
    <row r="43" spans="1:2" x14ac:dyDescent="0.25">
      <c r="A43" s="6" t="s">
        <v>15</v>
      </c>
      <c r="B43" s="131">
        <v>0</v>
      </c>
    </row>
    <row r="44" spans="1:2" x14ac:dyDescent="0.25">
      <c r="A44" s="6" t="s">
        <v>4</v>
      </c>
      <c r="B44" s="131">
        <v>250000</v>
      </c>
    </row>
    <row r="45" spans="1:2" x14ac:dyDescent="0.25">
      <c r="A45" s="6" t="s">
        <v>16</v>
      </c>
      <c r="B45" s="131">
        <v>0</v>
      </c>
    </row>
    <row r="46" spans="1:2" x14ac:dyDescent="0.25">
      <c r="A46" s="6" t="s">
        <v>17</v>
      </c>
      <c r="B46" s="131">
        <v>0</v>
      </c>
    </row>
    <row r="47" spans="1:2" x14ac:dyDescent="0.25">
      <c r="A47" s="6" t="s">
        <v>5</v>
      </c>
      <c r="B47" s="131">
        <v>80000</v>
      </c>
    </row>
    <row r="48" spans="1:2" x14ac:dyDescent="0.25">
      <c r="A48" s="6" t="s">
        <v>7</v>
      </c>
      <c r="B48" s="131">
        <v>5000</v>
      </c>
    </row>
    <row r="49" spans="1:2" x14ac:dyDescent="0.25">
      <c r="A49" s="8" t="s">
        <v>8</v>
      </c>
      <c r="B49" s="132">
        <v>5871780.8265774706</v>
      </c>
    </row>
    <row r="50" spans="1:2" x14ac:dyDescent="0.25">
      <c r="A50" s="6" t="s">
        <v>18</v>
      </c>
      <c r="B50" s="131">
        <v>0</v>
      </c>
    </row>
    <row r="51" spans="1:2" x14ac:dyDescent="0.25">
      <c r="A51" s="6" t="s">
        <v>19</v>
      </c>
      <c r="B51" s="131">
        <v>0</v>
      </c>
    </row>
    <row r="52" spans="1:2" x14ac:dyDescent="0.25">
      <c r="A52" s="6" t="s">
        <v>21</v>
      </c>
      <c r="B52" s="131">
        <v>0</v>
      </c>
    </row>
    <row r="53" spans="1:2" x14ac:dyDescent="0.25">
      <c r="A53" s="6" t="s">
        <v>9</v>
      </c>
      <c r="B53" s="131">
        <v>115000</v>
      </c>
    </row>
    <row r="54" spans="1:2" ht="15.75" thickBot="1" x14ac:dyDescent="0.3">
      <c r="A54" s="10"/>
      <c r="B54" s="135"/>
    </row>
    <row r="55" spans="1:2" ht="15.75" thickBot="1" x14ac:dyDescent="0.3">
      <c r="A55" s="63" t="s">
        <v>180</v>
      </c>
      <c r="B55" s="64">
        <f>SUM(B56:B66)</f>
        <v>12273625.262203073</v>
      </c>
    </row>
    <row r="56" spans="1:2" x14ac:dyDescent="0.25">
      <c r="A56" s="6" t="s">
        <v>30</v>
      </c>
      <c r="B56" s="131">
        <v>0</v>
      </c>
    </row>
    <row r="57" spans="1:2" x14ac:dyDescent="0.25">
      <c r="A57" s="6" t="s">
        <v>11</v>
      </c>
      <c r="B57" s="131">
        <v>100000</v>
      </c>
    </row>
    <row r="58" spans="1:2" x14ac:dyDescent="0.25">
      <c r="A58" s="6" t="s">
        <v>3</v>
      </c>
      <c r="B58" s="131">
        <v>20000</v>
      </c>
    </row>
    <row r="59" spans="1:2" x14ac:dyDescent="0.25">
      <c r="A59" s="6" t="s">
        <v>14</v>
      </c>
      <c r="B59" s="131">
        <v>0</v>
      </c>
    </row>
    <row r="60" spans="1:2" x14ac:dyDescent="0.25">
      <c r="A60" s="6" t="s">
        <v>15</v>
      </c>
      <c r="B60" s="131">
        <v>0</v>
      </c>
    </row>
    <row r="61" spans="1:2" x14ac:dyDescent="0.25">
      <c r="A61" s="6" t="s">
        <v>4</v>
      </c>
      <c r="B61" s="131">
        <v>150000</v>
      </c>
    </row>
    <row r="62" spans="1:2" x14ac:dyDescent="0.25">
      <c r="A62" s="6" t="s">
        <v>5</v>
      </c>
      <c r="B62" s="131">
        <v>80000</v>
      </c>
    </row>
    <row r="63" spans="1:2" x14ac:dyDescent="0.25">
      <c r="A63" s="6" t="s">
        <v>7</v>
      </c>
      <c r="B63" s="131">
        <v>4000</v>
      </c>
    </row>
    <row r="64" spans="1:2" x14ac:dyDescent="0.25">
      <c r="A64" s="8" t="s">
        <v>8</v>
      </c>
      <c r="B64" s="132">
        <v>11719625.262203073</v>
      </c>
    </row>
    <row r="65" spans="1:2" x14ac:dyDescent="0.25">
      <c r="A65" s="6" t="s">
        <v>19</v>
      </c>
      <c r="B65" s="131">
        <v>50000</v>
      </c>
    </row>
    <row r="66" spans="1:2" x14ac:dyDescent="0.25">
      <c r="A66" s="6" t="s">
        <v>9</v>
      </c>
      <c r="B66" s="131">
        <v>150000</v>
      </c>
    </row>
    <row r="67" spans="1:2" ht="15.75" thickBot="1" x14ac:dyDescent="0.3">
      <c r="A67" s="10"/>
      <c r="B67" s="135"/>
    </row>
    <row r="68" spans="1:2" ht="15.75" thickBot="1" x14ac:dyDescent="0.3">
      <c r="A68" s="63" t="s">
        <v>181</v>
      </c>
      <c r="B68" s="64">
        <f>SUM(B69:B81)</f>
        <v>8673180.9626396056</v>
      </c>
    </row>
    <row r="69" spans="1:2" x14ac:dyDescent="0.25">
      <c r="A69" s="6" t="s">
        <v>30</v>
      </c>
      <c r="B69" s="131">
        <v>0</v>
      </c>
    </row>
    <row r="70" spans="1:2" x14ac:dyDescent="0.25">
      <c r="A70" s="6" t="s">
        <v>11</v>
      </c>
      <c r="B70" s="131">
        <v>10000</v>
      </c>
    </row>
    <row r="71" spans="1:2" x14ac:dyDescent="0.25">
      <c r="A71" s="6" t="s">
        <v>12</v>
      </c>
      <c r="B71" s="131">
        <v>0</v>
      </c>
    </row>
    <row r="72" spans="1:2" x14ac:dyDescent="0.25">
      <c r="A72" s="6" t="s">
        <v>3</v>
      </c>
      <c r="B72" s="131">
        <v>20000</v>
      </c>
    </row>
    <row r="73" spans="1:2" x14ac:dyDescent="0.25">
      <c r="A73" s="6" t="s">
        <v>14</v>
      </c>
      <c r="B73" s="131">
        <v>0</v>
      </c>
    </row>
    <row r="74" spans="1:2" x14ac:dyDescent="0.25">
      <c r="A74" s="6" t="s">
        <v>4</v>
      </c>
      <c r="B74" s="131">
        <v>70000</v>
      </c>
    </row>
    <row r="75" spans="1:2" x14ac:dyDescent="0.25">
      <c r="A75" s="6" t="s">
        <v>5</v>
      </c>
      <c r="B75" s="131">
        <v>20000</v>
      </c>
    </row>
    <row r="76" spans="1:2" x14ac:dyDescent="0.25">
      <c r="A76" s="6" t="s">
        <v>7</v>
      </c>
      <c r="B76" s="131">
        <v>5000</v>
      </c>
    </row>
    <row r="77" spans="1:2" x14ac:dyDescent="0.25">
      <c r="A77" s="8" t="s">
        <v>8</v>
      </c>
      <c r="B77" s="132">
        <v>8442180.9626396056</v>
      </c>
    </row>
    <row r="78" spans="1:2" x14ac:dyDescent="0.25">
      <c r="A78" s="6" t="s">
        <v>18</v>
      </c>
      <c r="B78" s="131">
        <v>0</v>
      </c>
    </row>
    <row r="79" spans="1:2" x14ac:dyDescent="0.25">
      <c r="A79" s="6" t="s">
        <v>19</v>
      </c>
      <c r="B79" s="131">
        <v>3000</v>
      </c>
    </row>
    <row r="80" spans="1:2" x14ac:dyDescent="0.25">
      <c r="A80" s="6" t="s">
        <v>20</v>
      </c>
      <c r="B80" s="131">
        <v>0</v>
      </c>
    </row>
    <row r="81" spans="1:4" x14ac:dyDescent="0.25">
      <c r="A81" s="6" t="s">
        <v>9</v>
      </c>
      <c r="B81" s="131">
        <v>103000</v>
      </c>
    </row>
    <row r="82" spans="1:4" ht="15.75" thickBot="1" x14ac:dyDescent="0.3">
      <c r="A82" s="10"/>
      <c r="B82" s="135"/>
    </row>
    <row r="83" spans="1:4" ht="15.75" thickBot="1" x14ac:dyDescent="0.3">
      <c r="A83" s="63" t="s">
        <v>182</v>
      </c>
      <c r="B83" s="64">
        <f>SUM(B84:B93)</f>
        <v>6666412.9485798515</v>
      </c>
    </row>
    <row r="84" spans="1:4" x14ac:dyDescent="0.25">
      <c r="A84" s="6" t="s">
        <v>11</v>
      </c>
      <c r="B84" s="131">
        <v>10000</v>
      </c>
    </row>
    <row r="85" spans="1:4" x14ac:dyDescent="0.25">
      <c r="A85" s="6" t="s">
        <v>3</v>
      </c>
      <c r="B85" s="131">
        <v>20000</v>
      </c>
    </row>
    <row r="86" spans="1:4" x14ac:dyDescent="0.25">
      <c r="A86" s="6" t="s">
        <v>14</v>
      </c>
      <c r="B86" s="131">
        <v>0</v>
      </c>
      <c r="D86" s="12"/>
    </row>
    <row r="87" spans="1:4" x14ac:dyDescent="0.25">
      <c r="A87" s="6" t="s">
        <v>4</v>
      </c>
      <c r="B87" s="131">
        <v>30000</v>
      </c>
      <c r="D87" s="136"/>
    </row>
    <row r="88" spans="1:4" x14ac:dyDescent="0.25">
      <c r="A88" s="6" t="s">
        <v>5</v>
      </c>
      <c r="B88" s="131">
        <v>45000</v>
      </c>
      <c r="D88" s="136"/>
    </row>
    <row r="89" spans="1:4" x14ac:dyDescent="0.25">
      <c r="A89" s="6" t="s">
        <v>7</v>
      </c>
      <c r="B89" s="131">
        <v>5000</v>
      </c>
      <c r="D89" s="136"/>
    </row>
    <row r="90" spans="1:4" x14ac:dyDescent="0.25">
      <c r="A90" s="8" t="s">
        <v>8</v>
      </c>
      <c r="B90" s="132">
        <v>6444412.9485798515</v>
      </c>
      <c r="D90" s="136"/>
    </row>
    <row r="91" spans="1:4" x14ac:dyDescent="0.25">
      <c r="A91" s="6" t="s">
        <v>19</v>
      </c>
      <c r="B91" s="131">
        <v>2000</v>
      </c>
    </row>
    <row r="92" spans="1:4" x14ac:dyDescent="0.25">
      <c r="A92" s="6" t="s">
        <v>20</v>
      </c>
      <c r="B92" s="131">
        <v>0</v>
      </c>
    </row>
    <row r="93" spans="1:4" x14ac:dyDescent="0.25">
      <c r="A93" s="6" t="s">
        <v>9</v>
      </c>
      <c r="B93" s="131">
        <v>110000</v>
      </c>
    </row>
    <row r="94" spans="1:4" ht="15.75" thickBot="1" x14ac:dyDescent="0.3">
      <c r="A94" s="10"/>
      <c r="B94" s="135"/>
    </row>
    <row r="95" spans="1:4" ht="15.75" thickBot="1" x14ac:dyDescent="0.3">
      <c r="A95" s="63" t="s">
        <v>183</v>
      </c>
      <c r="B95" s="64">
        <f>SUM(B96:B97)</f>
        <v>200000</v>
      </c>
    </row>
    <row r="96" spans="1:4" x14ac:dyDescent="0.25">
      <c r="A96" s="6" t="s">
        <v>11</v>
      </c>
      <c r="B96" s="131">
        <v>0</v>
      </c>
    </row>
    <row r="97" spans="1:2" x14ac:dyDescent="0.25">
      <c r="A97" s="6" t="s">
        <v>4</v>
      </c>
      <c r="B97" s="131">
        <v>200000</v>
      </c>
    </row>
    <row r="98" spans="1:2" ht="15.75" thickBot="1" x14ac:dyDescent="0.3">
      <c r="A98" s="10"/>
      <c r="B98" s="135"/>
    </row>
    <row r="99" spans="1:2" ht="15.75" thickBot="1" x14ac:dyDescent="0.3">
      <c r="A99" s="63" t="s">
        <v>184</v>
      </c>
      <c r="B99" s="64">
        <f>SUM(B100:B105)</f>
        <v>1220500</v>
      </c>
    </row>
    <row r="100" spans="1:2" x14ac:dyDescent="0.25">
      <c r="A100" s="6" t="s">
        <v>11</v>
      </c>
      <c r="B100" s="131">
        <v>0</v>
      </c>
    </row>
    <row r="101" spans="1:2" x14ac:dyDescent="0.25">
      <c r="A101" s="6" t="s">
        <v>4</v>
      </c>
      <c r="B101" s="131">
        <v>0</v>
      </c>
    </row>
    <row r="102" spans="1:2" x14ac:dyDescent="0.25">
      <c r="A102" s="6" t="s">
        <v>7</v>
      </c>
      <c r="B102" s="131">
        <v>2000</v>
      </c>
    </row>
    <row r="103" spans="1:2" x14ac:dyDescent="0.25">
      <c r="A103" s="8" t="s">
        <v>8</v>
      </c>
      <c r="B103" s="132">
        <v>1205000</v>
      </c>
    </row>
    <row r="104" spans="1:2" x14ac:dyDescent="0.25">
      <c r="A104" s="6" t="s">
        <v>19</v>
      </c>
      <c r="B104" s="131">
        <v>0</v>
      </c>
    </row>
    <row r="105" spans="1:2" x14ac:dyDescent="0.25">
      <c r="A105" s="6" t="s">
        <v>9</v>
      </c>
      <c r="B105" s="131">
        <v>13500</v>
      </c>
    </row>
    <row r="106" spans="1:2" ht="15.75" thickBot="1" x14ac:dyDescent="0.3">
      <c r="A106" s="10"/>
      <c r="B106" s="135"/>
    </row>
    <row r="107" spans="1:2" ht="15.75" thickBot="1" x14ac:dyDescent="0.3">
      <c r="A107" s="63" t="s">
        <v>185</v>
      </c>
      <c r="B107" s="64">
        <f>SUM(B108:B114)</f>
        <v>472500</v>
      </c>
    </row>
    <row r="108" spans="1:2" x14ac:dyDescent="0.25">
      <c r="A108" s="6" t="s">
        <v>11</v>
      </c>
      <c r="B108" s="131">
        <v>0</v>
      </c>
    </row>
    <row r="109" spans="1:2" x14ac:dyDescent="0.25">
      <c r="A109" s="6" t="s">
        <v>3</v>
      </c>
      <c r="B109" s="131">
        <v>0</v>
      </c>
    </row>
    <row r="110" spans="1:2" x14ac:dyDescent="0.25">
      <c r="A110" s="6" t="s">
        <v>4</v>
      </c>
      <c r="B110" s="131">
        <v>0</v>
      </c>
    </row>
    <row r="111" spans="1:2" x14ac:dyDescent="0.25">
      <c r="A111" s="6" t="s">
        <v>7</v>
      </c>
      <c r="B111" s="131">
        <v>0</v>
      </c>
    </row>
    <row r="112" spans="1:2" x14ac:dyDescent="0.25">
      <c r="A112" s="8" t="s">
        <v>8</v>
      </c>
      <c r="B112" s="132">
        <v>470000</v>
      </c>
    </row>
    <row r="113" spans="1:2" x14ac:dyDescent="0.25">
      <c r="A113" s="6" t="s">
        <v>19</v>
      </c>
      <c r="B113" s="131">
        <v>0</v>
      </c>
    </row>
    <row r="114" spans="1:2" x14ac:dyDescent="0.25">
      <c r="A114" s="6" t="s">
        <v>9</v>
      </c>
      <c r="B114" s="131">
        <v>2500</v>
      </c>
    </row>
    <row r="115" spans="1:2" x14ac:dyDescent="0.25">
      <c r="A115" s="77"/>
      <c r="B115" s="137"/>
    </row>
    <row r="116" spans="1:2" x14ac:dyDescent="0.25">
      <c r="A116" s="6" t="s">
        <v>186</v>
      </c>
      <c r="B116" s="131">
        <v>0</v>
      </c>
    </row>
    <row r="117" spans="1:2" ht="15.75" thickBot="1" x14ac:dyDescent="0.3">
      <c r="A117" s="138"/>
      <c r="B117" s="139"/>
    </row>
    <row r="118" spans="1:2" ht="15.75" thickBot="1" x14ac:dyDescent="0.3">
      <c r="A118" s="15" t="s">
        <v>49</v>
      </c>
      <c r="B118" s="5">
        <f>SUM(B107,B99,B95,B83,B68,B55,B36,B16,B2)</f>
        <v>51163000</v>
      </c>
    </row>
    <row r="119" spans="1:2" ht="15.75" thickBot="1" x14ac:dyDescent="0.3">
      <c r="A119" s="52" t="s">
        <v>24</v>
      </c>
      <c r="B119" s="129"/>
    </row>
    <row r="120" spans="1:2" ht="15.75" thickBot="1" x14ac:dyDescent="0.3">
      <c r="A120" s="18" t="s">
        <v>53</v>
      </c>
      <c r="B120" s="46">
        <v>14000000</v>
      </c>
    </row>
    <row r="121" spans="1:2" ht="15.75" thickBot="1" x14ac:dyDescent="0.3">
      <c r="A121" s="18" t="s">
        <v>175</v>
      </c>
      <c r="B121" s="46">
        <v>0</v>
      </c>
    </row>
    <row r="122" spans="1:2" ht="15.75" thickBot="1" x14ac:dyDescent="0.3">
      <c r="A122" s="18" t="s">
        <v>187</v>
      </c>
      <c r="B122" s="46">
        <v>0</v>
      </c>
    </row>
    <row r="123" spans="1:2" ht="15.75" thickBot="1" x14ac:dyDescent="0.3">
      <c r="A123" s="18" t="s">
        <v>188</v>
      </c>
      <c r="B123" s="46">
        <v>0</v>
      </c>
    </row>
    <row r="124" spans="1:2" ht="15.75" thickBot="1" x14ac:dyDescent="0.3">
      <c r="A124" s="18" t="s">
        <v>31</v>
      </c>
      <c r="B124" s="46">
        <v>0</v>
      </c>
    </row>
    <row r="125" spans="1:2" ht="15.75" thickBot="1" x14ac:dyDescent="0.3">
      <c r="A125" s="18" t="s">
        <v>189</v>
      </c>
      <c r="B125" s="46">
        <v>7500000</v>
      </c>
    </row>
    <row r="126" spans="1:2" ht="15.75" thickBot="1" x14ac:dyDescent="0.3">
      <c r="A126" s="18" t="s">
        <v>190</v>
      </c>
      <c r="B126" s="46">
        <v>5000000</v>
      </c>
    </row>
    <row r="127" spans="1:2" ht="15.75" thickBot="1" x14ac:dyDescent="0.3">
      <c r="A127" s="18" t="s">
        <v>171</v>
      </c>
      <c r="B127" s="46">
        <v>0</v>
      </c>
    </row>
    <row r="128" spans="1:2" ht="15.75" thickBot="1" x14ac:dyDescent="0.3">
      <c r="A128" s="18" t="s">
        <v>85</v>
      </c>
      <c r="B128" s="46">
        <v>550000</v>
      </c>
    </row>
    <row r="129" spans="1:2" ht="15.75" thickBot="1" x14ac:dyDescent="0.3">
      <c r="A129" s="18" t="s">
        <v>167</v>
      </c>
      <c r="B129" s="46">
        <v>17126000</v>
      </c>
    </row>
    <row r="130" spans="1:2" ht="15.75" thickBot="1" x14ac:dyDescent="0.3">
      <c r="A130" s="18" t="s">
        <v>168</v>
      </c>
      <c r="B130" s="46">
        <v>2700000</v>
      </c>
    </row>
    <row r="131" spans="1:2" ht="15.75" thickBot="1" x14ac:dyDescent="0.3">
      <c r="A131" s="18" t="s">
        <v>169</v>
      </c>
      <c r="B131" s="46">
        <v>200000</v>
      </c>
    </row>
    <row r="132" spans="1:2" ht="15.75" thickBot="1" x14ac:dyDescent="0.3">
      <c r="A132" s="18" t="s">
        <v>191</v>
      </c>
      <c r="B132" s="46">
        <v>0</v>
      </c>
    </row>
    <row r="133" spans="1:2" ht="15.75" thickBot="1" x14ac:dyDescent="0.3">
      <c r="A133" s="18" t="s">
        <v>50</v>
      </c>
      <c r="B133" s="46">
        <v>800000</v>
      </c>
    </row>
    <row r="134" spans="1:2" ht="15.75" thickBot="1" x14ac:dyDescent="0.3">
      <c r="A134" s="18" t="s">
        <v>176</v>
      </c>
      <c r="B134" s="46">
        <v>958000</v>
      </c>
    </row>
    <row r="135" spans="1:2" ht="15.75" thickBot="1" x14ac:dyDescent="0.3">
      <c r="A135" s="18" t="s">
        <v>47</v>
      </c>
      <c r="B135" s="46">
        <v>2000000</v>
      </c>
    </row>
    <row r="136" spans="1:2" ht="15.75" thickBot="1" x14ac:dyDescent="0.3">
      <c r="A136" s="18" t="s">
        <v>173</v>
      </c>
      <c r="B136" s="46">
        <v>200000</v>
      </c>
    </row>
    <row r="137" spans="1:2" ht="15.75" thickBot="1" x14ac:dyDescent="0.3">
      <c r="A137" s="18" t="s">
        <v>145</v>
      </c>
      <c r="B137" s="46">
        <v>29000</v>
      </c>
    </row>
    <row r="138" spans="1:2" ht="15.75" thickBot="1" x14ac:dyDescent="0.3">
      <c r="A138" s="18" t="s">
        <v>192</v>
      </c>
      <c r="B138" s="46">
        <v>100000</v>
      </c>
    </row>
    <row r="139" spans="1:2" ht="15.75" thickBot="1" x14ac:dyDescent="0.3">
      <c r="A139" s="16" t="s">
        <v>28</v>
      </c>
      <c r="B139" s="54">
        <f>SUM(B120:B138)</f>
        <v>51163000</v>
      </c>
    </row>
    <row r="140" spans="1:2" ht="15.75" thickBot="1" x14ac:dyDescent="0.3">
      <c r="A140" s="22" t="s">
        <v>29</v>
      </c>
      <c r="B140" s="23">
        <f>B139-B118</f>
        <v>0</v>
      </c>
    </row>
    <row r="141" spans="1:2" ht="15.75" thickTop="1" x14ac:dyDescent="0.25"/>
  </sheetData>
  <pageMargins left="0.7" right="0.7" top="0.78740157499999996" bottom="0.78740157499999996" header="0.3" footer="0.3"/>
  <pageSetup paperSize="8" scale="77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16847-C115-4457-9621-B132096D0C86}">
  <sheetPr>
    <tabColor rgb="FF92D050"/>
  </sheetPr>
  <dimension ref="A1:B133"/>
  <sheetViews>
    <sheetView topLeftCell="A115" zoomScaleNormal="100" workbookViewId="0">
      <selection activeCell="B107" sqref="B107"/>
    </sheetView>
  </sheetViews>
  <sheetFormatPr defaultColWidth="9.140625" defaultRowHeight="15" x14ac:dyDescent="0.25"/>
  <cols>
    <col min="1" max="1" width="46.28515625" customWidth="1"/>
    <col min="2" max="2" width="15.42578125" customWidth="1"/>
  </cols>
  <sheetData>
    <row r="1" spans="1:2" ht="16.5" thickTop="1" thickBot="1" x14ac:dyDescent="0.3">
      <c r="A1" s="112" t="s">
        <v>0</v>
      </c>
      <c r="B1" s="56" t="s">
        <v>1</v>
      </c>
    </row>
    <row r="2" spans="1:2" ht="15.75" thickBot="1" x14ac:dyDescent="0.3">
      <c r="A2" s="63" t="s">
        <v>193</v>
      </c>
      <c r="B2" s="64">
        <f>SUM(B3:B14)</f>
        <v>1076165.24</v>
      </c>
    </row>
    <row r="3" spans="1:2" ht="15" customHeight="1" x14ac:dyDescent="0.25">
      <c r="A3" s="83" t="s">
        <v>11</v>
      </c>
      <c r="B3" s="7">
        <v>5000</v>
      </c>
    </row>
    <row r="4" spans="1:2" x14ac:dyDescent="0.25">
      <c r="A4" s="6" t="s">
        <v>12</v>
      </c>
      <c r="B4" s="7">
        <v>50000</v>
      </c>
    </row>
    <row r="5" spans="1:2" x14ac:dyDescent="0.25">
      <c r="A5" s="6" t="s">
        <v>13</v>
      </c>
      <c r="B5" s="7">
        <v>5000</v>
      </c>
    </row>
    <row r="6" spans="1:2" x14ac:dyDescent="0.25">
      <c r="A6" s="6" t="s">
        <v>3</v>
      </c>
      <c r="B6" s="7">
        <v>1000</v>
      </c>
    </row>
    <row r="7" spans="1:2" x14ac:dyDescent="0.25">
      <c r="A7" s="6" t="s">
        <v>14</v>
      </c>
      <c r="B7" s="7">
        <v>0</v>
      </c>
    </row>
    <row r="8" spans="1:2" ht="14.25" customHeight="1" x14ac:dyDescent="0.25">
      <c r="A8" s="6" t="s">
        <v>4</v>
      </c>
      <c r="B8" s="7">
        <v>6000</v>
      </c>
    </row>
    <row r="9" spans="1:2" x14ac:dyDescent="0.25">
      <c r="A9" s="6" t="s">
        <v>7</v>
      </c>
      <c r="B9" s="7">
        <v>20000</v>
      </c>
    </row>
    <row r="10" spans="1:2" x14ac:dyDescent="0.25">
      <c r="A10" s="8" t="s">
        <v>8</v>
      </c>
      <c r="B10" s="9">
        <v>978332.04</v>
      </c>
    </row>
    <row r="11" spans="1:2" x14ac:dyDescent="0.25">
      <c r="A11" s="6" t="s">
        <v>18</v>
      </c>
      <c r="B11" s="7">
        <v>0</v>
      </c>
    </row>
    <row r="12" spans="1:2" x14ac:dyDescent="0.25">
      <c r="A12" s="6" t="s">
        <v>19</v>
      </c>
      <c r="B12" s="7">
        <v>1000</v>
      </c>
    </row>
    <row r="13" spans="1:2" x14ac:dyDescent="0.25">
      <c r="A13" s="6" t="s">
        <v>21</v>
      </c>
      <c r="B13" s="7">
        <v>44</v>
      </c>
    </row>
    <row r="14" spans="1:2" x14ac:dyDescent="0.25">
      <c r="A14" s="6" t="s">
        <v>9</v>
      </c>
      <c r="B14" s="7">
        <v>9789.2000000000007</v>
      </c>
    </row>
    <row r="15" spans="1:2" ht="15.75" thickBot="1" x14ac:dyDescent="0.3">
      <c r="A15" s="10"/>
      <c r="B15" s="11"/>
    </row>
    <row r="16" spans="1:2" ht="15.75" thickBot="1" x14ac:dyDescent="0.3">
      <c r="A16" s="63" t="s">
        <v>194</v>
      </c>
      <c r="B16" s="64">
        <f>SUM(B17:B34)</f>
        <v>5946187.8299999991</v>
      </c>
    </row>
    <row r="17" spans="1:2" x14ac:dyDescent="0.25">
      <c r="A17" s="6" t="s">
        <v>30</v>
      </c>
      <c r="B17" s="7">
        <v>0</v>
      </c>
    </row>
    <row r="18" spans="1:2" x14ac:dyDescent="0.25">
      <c r="A18" s="6" t="s">
        <v>11</v>
      </c>
      <c r="B18" s="7">
        <v>0</v>
      </c>
    </row>
    <row r="19" spans="1:2" x14ac:dyDescent="0.25">
      <c r="A19" s="6" t="s">
        <v>12</v>
      </c>
      <c r="B19" s="7">
        <v>0</v>
      </c>
    </row>
    <row r="20" spans="1:2" x14ac:dyDescent="0.25">
      <c r="A20" s="6" t="s">
        <v>3</v>
      </c>
      <c r="B20" s="7">
        <v>15000</v>
      </c>
    </row>
    <row r="21" spans="1:2" x14ac:dyDescent="0.25">
      <c r="A21" s="6" t="s">
        <v>14</v>
      </c>
      <c r="B21" s="7">
        <v>0</v>
      </c>
    </row>
    <row r="22" spans="1:2" x14ac:dyDescent="0.25">
      <c r="A22" s="6" t="s">
        <v>15</v>
      </c>
      <c r="B22" s="7">
        <v>0</v>
      </c>
    </row>
    <row r="23" spans="1:2" x14ac:dyDescent="0.25">
      <c r="A23" s="6" t="s">
        <v>6</v>
      </c>
      <c r="B23" s="7">
        <v>0</v>
      </c>
    </row>
    <row r="24" spans="1:2" x14ac:dyDescent="0.25">
      <c r="A24" s="6" t="s">
        <v>4</v>
      </c>
      <c r="B24" s="7">
        <v>0</v>
      </c>
    </row>
    <row r="25" spans="1:2" x14ac:dyDescent="0.25">
      <c r="A25" s="118" t="s">
        <v>157</v>
      </c>
      <c r="B25" s="131">
        <v>1000000</v>
      </c>
    </row>
    <row r="26" spans="1:2" x14ac:dyDescent="0.25">
      <c r="A26" s="6" t="s">
        <v>16</v>
      </c>
      <c r="B26" s="7">
        <v>0</v>
      </c>
    </row>
    <row r="27" spans="1:2" x14ac:dyDescent="0.25">
      <c r="A27" s="6" t="s">
        <v>17</v>
      </c>
      <c r="B27" s="7">
        <v>0</v>
      </c>
    </row>
    <row r="28" spans="1:2" x14ac:dyDescent="0.25">
      <c r="A28" s="6" t="s">
        <v>7</v>
      </c>
      <c r="B28" s="7">
        <v>1000</v>
      </c>
    </row>
    <row r="29" spans="1:2" x14ac:dyDescent="0.25">
      <c r="A29" s="6" t="s">
        <v>5</v>
      </c>
      <c r="B29" s="7">
        <v>0</v>
      </c>
    </row>
    <row r="30" spans="1:2" x14ac:dyDescent="0.25">
      <c r="A30" s="8" t="s">
        <v>8</v>
      </c>
      <c r="B30" s="9">
        <v>3768001.69</v>
      </c>
    </row>
    <row r="31" spans="1:2" x14ac:dyDescent="0.25">
      <c r="A31" s="6" t="s">
        <v>19</v>
      </c>
      <c r="B31" s="7">
        <v>1000</v>
      </c>
    </row>
    <row r="32" spans="1:2" x14ac:dyDescent="0.25">
      <c r="A32" s="6" t="s">
        <v>21</v>
      </c>
      <c r="B32" s="7">
        <v>0</v>
      </c>
    </row>
    <row r="33" spans="1:2" x14ac:dyDescent="0.25">
      <c r="A33" s="6" t="s">
        <v>158</v>
      </c>
      <c r="B33" s="134">
        <v>750000</v>
      </c>
    </row>
    <row r="34" spans="1:2" x14ac:dyDescent="0.25">
      <c r="A34" s="6" t="s">
        <v>9</v>
      </c>
      <c r="B34" s="7">
        <v>411186.14</v>
      </c>
    </row>
    <row r="35" spans="1:2" ht="15.75" thickBot="1" x14ac:dyDescent="0.3">
      <c r="A35" s="10"/>
      <c r="B35" s="11"/>
    </row>
    <row r="36" spans="1:2" ht="15.75" thickBot="1" x14ac:dyDescent="0.3">
      <c r="A36" s="63" t="s">
        <v>195</v>
      </c>
      <c r="B36" s="64">
        <f>SUM(B37:B49)</f>
        <v>56640.280000000006</v>
      </c>
    </row>
    <row r="37" spans="1:2" x14ac:dyDescent="0.25">
      <c r="A37" s="6" t="s">
        <v>11</v>
      </c>
      <c r="B37" s="7">
        <v>1000</v>
      </c>
    </row>
    <row r="38" spans="1:2" x14ac:dyDescent="0.25">
      <c r="A38" s="6" t="s">
        <v>3</v>
      </c>
      <c r="B38" s="7">
        <v>0</v>
      </c>
    </row>
    <row r="39" spans="1:2" x14ac:dyDescent="0.25">
      <c r="A39" s="6" t="s">
        <v>14</v>
      </c>
      <c r="B39" s="7">
        <v>0</v>
      </c>
    </row>
    <row r="40" spans="1:2" x14ac:dyDescent="0.25">
      <c r="A40" s="6" t="s">
        <v>15</v>
      </c>
      <c r="B40" s="7">
        <v>0</v>
      </c>
    </row>
    <row r="41" spans="1:2" x14ac:dyDescent="0.25">
      <c r="A41" s="6" t="s">
        <v>6</v>
      </c>
      <c r="B41" s="7">
        <v>3000</v>
      </c>
    </row>
    <row r="42" spans="1:2" x14ac:dyDescent="0.25">
      <c r="A42" s="6" t="s">
        <v>4</v>
      </c>
      <c r="B42" s="7">
        <v>0</v>
      </c>
    </row>
    <row r="43" spans="1:2" x14ac:dyDescent="0.25">
      <c r="A43" s="6" t="s">
        <v>16</v>
      </c>
      <c r="B43" s="7">
        <v>0</v>
      </c>
    </row>
    <row r="44" spans="1:2" x14ac:dyDescent="0.25">
      <c r="A44" s="6" t="s">
        <v>5</v>
      </c>
      <c r="B44" s="7">
        <v>0</v>
      </c>
    </row>
    <row r="45" spans="1:2" x14ac:dyDescent="0.25">
      <c r="A45" s="6" t="s">
        <v>7</v>
      </c>
      <c r="B45" s="7">
        <v>149.12</v>
      </c>
    </row>
    <row r="46" spans="1:2" x14ac:dyDescent="0.25">
      <c r="A46" s="8" t="s">
        <v>8</v>
      </c>
      <c r="B46" s="9">
        <v>51491.16</v>
      </c>
    </row>
    <row r="47" spans="1:2" x14ac:dyDescent="0.25">
      <c r="A47" s="6" t="s">
        <v>19</v>
      </c>
      <c r="B47" s="7">
        <v>1000</v>
      </c>
    </row>
    <row r="48" spans="1:2" x14ac:dyDescent="0.25">
      <c r="A48" s="6" t="s">
        <v>41</v>
      </c>
      <c r="B48" s="7">
        <v>0</v>
      </c>
    </row>
    <row r="49" spans="1:2" x14ac:dyDescent="0.25">
      <c r="A49" s="6" t="s">
        <v>9</v>
      </c>
      <c r="B49" s="7">
        <v>0</v>
      </c>
    </row>
    <row r="50" spans="1:2" ht="15.75" thickBot="1" x14ac:dyDescent="0.3">
      <c r="A50" s="10"/>
      <c r="B50" s="11"/>
    </row>
    <row r="51" spans="1:2" ht="15.75" thickBot="1" x14ac:dyDescent="0.3">
      <c r="A51" s="63" t="s">
        <v>196</v>
      </c>
      <c r="B51" s="64">
        <f>SUM(B52:B65)</f>
        <v>5656475.5599999996</v>
      </c>
    </row>
    <row r="52" spans="1:2" x14ac:dyDescent="0.25">
      <c r="A52" s="6" t="s">
        <v>11</v>
      </c>
      <c r="B52" s="7">
        <v>10000</v>
      </c>
    </row>
    <row r="53" spans="1:2" x14ac:dyDescent="0.25">
      <c r="A53" s="6" t="s">
        <v>30</v>
      </c>
      <c r="B53" s="7">
        <v>0</v>
      </c>
    </row>
    <row r="54" spans="1:2" x14ac:dyDescent="0.25">
      <c r="A54" s="6" t="s">
        <v>12</v>
      </c>
      <c r="B54" s="7">
        <v>50000</v>
      </c>
    </row>
    <row r="55" spans="1:2" x14ac:dyDescent="0.25">
      <c r="A55" s="6" t="s">
        <v>13</v>
      </c>
      <c r="B55" s="7">
        <v>0</v>
      </c>
    </row>
    <row r="56" spans="1:2" x14ac:dyDescent="0.25">
      <c r="A56" s="6" t="s">
        <v>3</v>
      </c>
      <c r="B56" s="7">
        <v>20000</v>
      </c>
    </row>
    <row r="57" spans="1:2" x14ac:dyDescent="0.25">
      <c r="A57" s="6" t="s">
        <v>15</v>
      </c>
      <c r="B57" s="7">
        <v>10000</v>
      </c>
    </row>
    <row r="58" spans="1:2" x14ac:dyDescent="0.25">
      <c r="A58" s="6" t="s">
        <v>4</v>
      </c>
      <c r="B58" s="7">
        <v>274185.05</v>
      </c>
    </row>
    <row r="59" spans="1:2" x14ac:dyDescent="0.25">
      <c r="A59" s="6" t="s">
        <v>7</v>
      </c>
      <c r="B59" s="7">
        <v>10000</v>
      </c>
    </row>
    <row r="60" spans="1:2" x14ac:dyDescent="0.25">
      <c r="A60" s="6" t="s">
        <v>5</v>
      </c>
      <c r="B60" s="7">
        <v>40000</v>
      </c>
    </row>
    <row r="61" spans="1:2" x14ac:dyDescent="0.25">
      <c r="A61" s="8" t="s">
        <v>8</v>
      </c>
      <c r="B61" s="9">
        <v>5142250.51</v>
      </c>
    </row>
    <row r="62" spans="1:2" x14ac:dyDescent="0.25">
      <c r="A62" s="6" t="s">
        <v>18</v>
      </c>
      <c r="B62" s="7">
        <v>0</v>
      </c>
    </row>
    <row r="63" spans="1:2" x14ac:dyDescent="0.25">
      <c r="A63" s="6" t="s">
        <v>19</v>
      </c>
      <c r="B63" s="7">
        <v>10000</v>
      </c>
    </row>
    <row r="64" spans="1:2" x14ac:dyDescent="0.25">
      <c r="A64" s="6" t="s">
        <v>21</v>
      </c>
      <c r="B64" s="7">
        <v>40</v>
      </c>
    </row>
    <row r="65" spans="1:2" x14ac:dyDescent="0.25">
      <c r="A65" s="6" t="s">
        <v>9</v>
      </c>
      <c r="B65" s="7">
        <v>90000</v>
      </c>
    </row>
    <row r="66" spans="1:2" ht="15.75" thickBot="1" x14ac:dyDescent="0.3">
      <c r="A66" s="10"/>
      <c r="B66" s="11"/>
    </row>
    <row r="67" spans="1:2" ht="15.75" thickBot="1" x14ac:dyDescent="0.3">
      <c r="A67" s="63" t="s">
        <v>197</v>
      </c>
      <c r="B67" s="64">
        <f>SUM(B68:B77)</f>
        <v>3015482.14</v>
      </c>
    </row>
    <row r="68" spans="1:2" x14ac:dyDescent="0.25">
      <c r="A68" s="6" t="s">
        <v>11</v>
      </c>
      <c r="B68" s="7">
        <v>0</v>
      </c>
    </row>
    <row r="69" spans="1:2" x14ac:dyDescent="0.25">
      <c r="A69" s="6" t="s">
        <v>3</v>
      </c>
      <c r="B69" s="7">
        <v>0</v>
      </c>
    </row>
    <row r="70" spans="1:2" x14ac:dyDescent="0.25">
      <c r="A70" s="6" t="s">
        <v>4</v>
      </c>
      <c r="B70" s="7">
        <v>150000</v>
      </c>
    </row>
    <row r="71" spans="1:2" x14ac:dyDescent="0.25">
      <c r="A71" s="6" t="s">
        <v>5</v>
      </c>
      <c r="B71" s="7">
        <v>0</v>
      </c>
    </row>
    <row r="72" spans="1:2" x14ac:dyDescent="0.25">
      <c r="A72" s="6" t="s">
        <v>7</v>
      </c>
      <c r="B72" s="7">
        <v>0</v>
      </c>
    </row>
    <row r="73" spans="1:2" x14ac:dyDescent="0.25">
      <c r="A73" s="6" t="s">
        <v>14</v>
      </c>
      <c r="B73" s="7">
        <v>0</v>
      </c>
    </row>
    <row r="74" spans="1:2" x14ac:dyDescent="0.25">
      <c r="A74" s="8" t="s">
        <v>8</v>
      </c>
      <c r="B74" s="9">
        <v>2741347.4</v>
      </c>
    </row>
    <row r="75" spans="1:2" x14ac:dyDescent="0.25">
      <c r="A75" s="6" t="s">
        <v>18</v>
      </c>
      <c r="B75" s="7">
        <v>0</v>
      </c>
    </row>
    <row r="76" spans="1:2" x14ac:dyDescent="0.25">
      <c r="A76" s="6" t="s">
        <v>19</v>
      </c>
      <c r="B76" s="7">
        <v>44134.74</v>
      </c>
    </row>
    <row r="77" spans="1:2" x14ac:dyDescent="0.25">
      <c r="A77" s="6" t="s">
        <v>9</v>
      </c>
      <c r="B77" s="7">
        <v>80000</v>
      </c>
    </row>
    <row r="78" spans="1:2" ht="15.75" thickBot="1" x14ac:dyDescent="0.3">
      <c r="A78" s="10"/>
      <c r="B78" s="11"/>
    </row>
    <row r="79" spans="1:2" ht="15.75" thickBot="1" x14ac:dyDescent="0.3">
      <c r="A79" s="63" t="s">
        <v>198</v>
      </c>
      <c r="B79" s="64">
        <f>SUM(B80:B81)</f>
        <v>2129063.69</v>
      </c>
    </row>
    <row r="80" spans="1:2" x14ac:dyDescent="0.25">
      <c r="A80" s="8" t="s">
        <v>8</v>
      </c>
      <c r="B80" s="9">
        <v>2003349.4</v>
      </c>
    </row>
    <row r="81" spans="1:2" x14ac:dyDescent="0.25">
      <c r="A81" s="6" t="s">
        <v>9</v>
      </c>
      <c r="B81" s="7">
        <v>125714.29</v>
      </c>
    </row>
    <row r="82" spans="1:2" ht="15.75" thickBot="1" x14ac:dyDescent="0.3">
      <c r="A82" s="10"/>
      <c r="B82" s="11"/>
    </row>
    <row r="83" spans="1:2" ht="15.75" thickBot="1" x14ac:dyDescent="0.3">
      <c r="A83" s="63" t="s">
        <v>199</v>
      </c>
      <c r="B83" s="64">
        <f>SUM(B84:B87)</f>
        <v>196350</v>
      </c>
    </row>
    <row r="84" spans="1:2" x14ac:dyDescent="0.25">
      <c r="A84" s="6" t="s">
        <v>4</v>
      </c>
      <c r="B84" s="7">
        <v>17850</v>
      </c>
    </row>
    <row r="85" spans="1:2" x14ac:dyDescent="0.25">
      <c r="A85" s="8" t="s">
        <v>8</v>
      </c>
      <c r="B85" s="9">
        <v>178500</v>
      </c>
    </row>
    <row r="86" spans="1:2" x14ac:dyDescent="0.25">
      <c r="A86" s="6" t="s">
        <v>20</v>
      </c>
      <c r="B86" s="7">
        <v>0</v>
      </c>
    </row>
    <row r="87" spans="1:2" x14ac:dyDescent="0.25">
      <c r="A87" s="6" t="s">
        <v>9</v>
      </c>
      <c r="B87" s="7">
        <v>0</v>
      </c>
    </row>
    <row r="88" spans="1:2" ht="15.75" thickBot="1" x14ac:dyDescent="0.3">
      <c r="A88" s="10"/>
      <c r="B88" s="11"/>
    </row>
    <row r="89" spans="1:2" ht="15.75" thickBot="1" x14ac:dyDescent="0.3">
      <c r="A89" s="63" t="s">
        <v>200</v>
      </c>
      <c r="B89" s="64">
        <f>SUM(B90:B96)</f>
        <v>0</v>
      </c>
    </row>
    <row r="90" spans="1:2" x14ac:dyDescent="0.25">
      <c r="A90" s="6" t="s">
        <v>3</v>
      </c>
      <c r="B90" s="7">
        <v>0</v>
      </c>
    </row>
    <row r="91" spans="1:2" x14ac:dyDescent="0.25">
      <c r="A91" s="6" t="s">
        <v>5</v>
      </c>
      <c r="B91" s="7">
        <v>0</v>
      </c>
    </row>
    <row r="92" spans="1:2" x14ac:dyDescent="0.25">
      <c r="A92" s="6" t="s">
        <v>7</v>
      </c>
      <c r="B92" s="7">
        <v>0</v>
      </c>
    </row>
    <row r="93" spans="1:2" x14ac:dyDescent="0.25">
      <c r="A93" s="6" t="s">
        <v>4</v>
      </c>
      <c r="B93" s="7">
        <v>0</v>
      </c>
    </row>
    <row r="94" spans="1:2" x14ac:dyDescent="0.25">
      <c r="A94" s="8" t="s">
        <v>8</v>
      </c>
      <c r="B94" s="9">
        <v>0</v>
      </c>
    </row>
    <row r="95" spans="1:2" x14ac:dyDescent="0.25">
      <c r="A95" s="6" t="s">
        <v>19</v>
      </c>
      <c r="B95" s="7">
        <v>0</v>
      </c>
    </row>
    <row r="96" spans="1:2" x14ac:dyDescent="0.25">
      <c r="A96" s="6" t="s">
        <v>9</v>
      </c>
      <c r="B96" s="7">
        <v>0</v>
      </c>
    </row>
    <row r="97" spans="1:2" ht="15.75" thickBot="1" x14ac:dyDescent="0.3">
      <c r="A97" s="10"/>
      <c r="B97" s="11"/>
    </row>
    <row r="98" spans="1:2" ht="28.5" customHeight="1" thickBot="1" x14ac:dyDescent="0.3">
      <c r="A98" s="127" t="s">
        <v>201</v>
      </c>
      <c r="B98" s="64">
        <f>SUM(B99:B111)</f>
        <v>12833399.26</v>
      </c>
    </row>
    <row r="99" spans="1:2" x14ac:dyDescent="0.25">
      <c r="A99" s="6" t="s">
        <v>11</v>
      </c>
      <c r="B99" s="7">
        <v>20000</v>
      </c>
    </row>
    <row r="100" spans="1:2" x14ac:dyDescent="0.25">
      <c r="A100" s="6" t="s">
        <v>12</v>
      </c>
      <c r="B100" s="7">
        <v>0</v>
      </c>
    </row>
    <row r="101" spans="1:2" x14ac:dyDescent="0.25">
      <c r="A101" s="6" t="s">
        <v>3</v>
      </c>
      <c r="B101" s="7">
        <v>100000</v>
      </c>
    </row>
    <row r="102" spans="1:2" x14ac:dyDescent="0.25">
      <c r="A102" s="6" t="s">
        <v>14</v>
      </c>
      <c r="B102" s="7">
        <v>3000</v>
      </c>
    </row>
    <row r="103" spans="1:2" x14ac:dyDescent="0.25">
      <c r="A103" s="6" t="s">
        <v>4</v>
      </c>
      <c r="B103" s="7">
        <v>226114.25</v>
      </c>
    </row>
    <row r="104" spans="1:2" x14ac:dyDescent="0.25">
      <c r="A104" s="6" t="s">
        <v>16</v>
      </c>
      <c r="B104" s="7">
        <v>0</v>
      </c>
    </row>
    <row r="105" spans="1:2" x14ac:dyDescent="0.25">
      <c r="A105" s="6" t="s">
        <v>5</v>
      </c>
      <c r="B105" s="7">
        <v>100000</v>
      </c>
    </row>
    <row r="106" spans="1:2" x14ac:dyDescent="0.25">
      <c r="A106" s="6" t="s">
        <v>7</v>
      </c>
      <c r="B106" s="7">
        <v>1000</v>
      </c>
    </row>
    <row r="107" spans="1:2" x14ac:dyDescent="0.25">
      <c r="A107" s="6" t="s">
        <v>202</v>
      </c>
      <c r="B107" s="7">
        <v>1000</v>
      </c>
    </row>
    <row r="108" spans="1:2" x14ac:dyDescent="0.25">
      <c r="A108" s="8" t="s">
        <v>8</v>
      </c>
      <c r="B108" s="9">
        <v>12222285.01</v>
      </c>
    </row>
    <row r="109" spans="1:2" x14ac:dyDescent="0.25">
      <c r="A109" s="6" t="s">
        <v>18</v>
      </c>
      <c r="B109" s="7">
        <v>0</v>
      </c>
    </row>
    <row r="110" spans="1:2" x14ac:dyDescent="0.25">
      <c r="A110" s="6" t="s">
        <v>19</v>
      </c>
      <c r="B110" s="7">
        <v>0</v>
      </c>
    </row>
    <row r="111" spans="1:2" x14ac:dyDescent="0.25">
      <c r="A111" s="6" t="s">
        <v>9</v>
      </c>
      <c r="B111" s="7">
        <v>160000</v>
      </c>
    </row>
    <row r="112" spans="1:2" ht="15.75" thickBot="1" x14ac:dyDescent="0.3">
      <c r="A112" s="140"/>
      <c r="B112" s="141"/>
    </row>
    <row r="113" spans="1:2" ht="15.75" thickBot="1" x14ac:dyDescent="0.3">
      <c r="A113" s="15" t="s">
        <v>49</v>
      </c>
      <c r="B113" s="5">
        <f>B98+B89+B83+B67+B51+B36+B16+B2+B79</f>
        <v>30909764</v>
      </c>
    </row>
    <row r="114" spans="1:2" ht="15.75" thickBot="1" x14ac:dyDescent="0.3">
      <c r="A114" s="52" t="s">
        <v>24</v>
      </c>
      <c r="B114" s="54"/>
    </row>
    <row r="115" spans="1:2" ht="15.75" thickBot="1" x14ac:dyDescent="0.3">
      <c r="A115" s="18" t="s">
        <v>53</v>
      </c>
      <c r="B115" s="142">
        <v>8000000</v>
      </c>
    </row>
    <row r="116" spans="1:2" ht="15.75" thickBot="1" x14ac:dyDescent="0.3">
      <c r="A116" s="18" t="s">
        <v>170</v>
      </c>
      <c r="B116" s="142">
        <v>0</v>
      </c>
    </row>
    <row r="117" spans="1:2" ht="15.75" thickBot="1" x14ac:dyDescent="0.3">
      <c r="A117" s="18" t="s">
        <v>174</v>
      </c>
      <c r="B117" s="142">
        <v>0</v>
      </c>
    </row>
    <row r="118" spans="1:2" ht="15.75" thickBot="1" x14ac:dyDescent="0.3">
      <c r="A118" s="18" t="s">
        <v>50</v>
      </c>
      <c r="B118" s="142">
        <v>1500000</v>
      </c>
    </row>
    <row r="119" spans="1:2" ht="15.75" thickBot="1" x14ac:dyDescent="0.3">
      <c r="A119" s="18" t="s">
        <v>31</v>
      </c>
      <c r="B119" s="142">
        <v>0</v>
      </c>
    </row>
    <row r="120" spans="1:2" ht="15.75" thickBot="1" x14ac:dyDescent="0.3">
      <c r="A120" s="18" t="s">
        <v>173</v>
      </c>
      <c r="B120" s="142">
        <v>200000</v>
      </c>
    </row>
    <row r="121" spans="1:2" ht="15.75" thickBot="1" x14ac:dyDescent="0.3">
      <c r="A121" s="18" t="s">
        <v>46</v>
      </c>
      <c r="B121" s="142">
        <v>8659764</v>
      </c>
    </row>
    <row r="122" spans="1:2" ht="15.75" thickBot="1" x14ac:dyDescent="0.3">
      <c r="A122" s="18" t="s">
        <v>47</v>
      </c>
      <c r="B122" s="142">
        <v>7000000</v>
      </c>
    </row>
    <row r="123" spans="1:2" ht="15.75" thickBot="1" x14ac:dyDescent="0.3">
      <c r="A123" s="18" t="s">
        <v>203</v>
      </c>
      <c r="B123" s="142">
        <v>150000</v>
      </c>
    </row>
    <row r="124" spans="1:2" ht="15.75" thickBot="1" x14ac:dyDescent="0.3">
      <c r="A124" s="18" t="s">
        <v>204</v>
      </c>
      <c r="B124" s="142">
        <v>0</v>
      </c>
    </row>
    <row r="125" spans="1:2" ht="15.75" thickBot="1" x14ac:dyDescent="0.3">
      <c r="A125" s="18" t="s">
        <v>205</v>
      </c>
      <c r="B125" s="142">
        <v>0</v>
      </c>
    </row>
    <row r="126" spans="1:2" ht="15.75" thickBot="1" x14ac:dyDescent="0.3">
      <c r="A126" s="18" t="s">
        <v>167</v>
      </c>
      <c r="B126" s="142">
        <v>3700000</v>
      </c>
    </row>
    <row r="127" spans="1:2" ht="15.75" thickBot="1" x14ac:dyDescent="0.3">
      <c r="A127" s="18" t="s">
        <v>168</v>
      </c>
      <c r="B127" s="142">
        <v>700000</v>
      </c>
    </row>
    <row r="128" spans="1:2" ht="15.75" thickBot="1" x14ac:dyDescent="0.3">
      <c r="A128" s="18" t="s">
        <v>171</v>
      </c>
      <c r="B128" s="142">
        <v>0</v>
      </c>
    </row>
    <row r="129" spans="1:2" ht="15.75" thickBot="1" x14ac:dyDescent="0.3">
      <c r="A129" s="18" t="s">
        <v>85</v>
      </c>
      <c r="B129" s="142">
        <v>0</v>
      </c>
    </row>
    <row r="130" spans="1:2" ht="15.75" thickBot="1" x14ac:dyDescent="0.3">
      <c r="A130" s="18" t="s">
        <v>176</v>
      </c>
      <c r="B130" s="142">
        <v>1000000</v>
      </c>
    </row>
    <row r="131" spans="1:2" ht="15.75" thickBot="1" x14ac:dyDescent="0.3">
      <c r="A131" s="16" t="s">
        <v>28</v>
      </c>
      <c r="B131" s="54">
        <f>SUM(B115:B130)</f>
        <v>30909764</v>
      </c>
    </row>
    <row r="132" spans="1:2" ht="15.75" thickBot="1" x14ac:dyDescent="0.3">
      <c r="A132" s="22" t="s">
        <v>29</v>
      </c>
      <c r="B132" s="23">
        <f>B131-B113</f>
        <v>0</v>
      </c>
    </row>
    <row r="133" spans="1:2" ht="15.75" thickTop="1" x14ac:dyDescent="0.25">
      <c r="B133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8B856-872C-4E3A-8891-33F4236ADFA0}">
  <sheetPr>
    <pageSetUpPr fitToPage="1"/>
  </sheetPr>
  <dimension ref="B1:O36"/>
  <sheetViews>
    <sheetView showGridLines="0" topLeftCell="A4" zoomScaleNormal="100" workbookViewId="0">
      <selection activeCell="N15" sqref="N15"/>
    </sheetView>
  </sheetViews>
  <sheetFormatPr defaultColWidth="9.140625" defaultRowHeight="15" x14ac:dyDescent="0.25"/>
  <cols>
    <col min="2" max="2" width="25.42578125" bestFit="1" customWidth="1"/>
    <col min="3" max="3" width="13.28515625" customWidth="1"/>
    <col min="4" max="6" width="12.140625" customWidth="1"/>
    <col min="7" max="7" width="13.28515625" customWidth="1"/>
    <col min="8" max="8" width="38.28515625" customWidth="1"/>
    <col min="9" max="11" width="12.140625" customWidth="1"/>
    <col min="12" max="12" width="14.85546875" customWidth="1"/>
    <col min="13" max="13" width="13.28515625" bestFit="1" customWidth="1"/>
    <col min="14" max="14" width="16.140625" customWidth="1"/>
    <col min="15" max="15" width="19.28515625" customWidth="1"/>
    <col min="16" max="16" width="15.140625" customWidth="1"/>
    <col min="17" max="17" width="16.42578125" customWidth="1"/>
    <col min="18" max="18" width="17.42578125" customWidth="1"/>
    <col min="19" max="19" width="18.42578125" customWidth="1"/>
    <col min="20" max="20" width="9.140625" customWidth="1"/>
  </cols>
  <sheetData>
    <row r="1" spans="2:15" x14ac:dyDescent="0.25">
      <c r="B1" s="130" t="s">
        <v>206</v>
      </c>
      <c r="E1" s="130"/>
      <c r="F1" s="130"/>
      <c r="G1" s="130"/>
      <c r="H1" s="12"/>
      <c r="I1" s="12"/>
      <c r="J1" s="12"/>
      <c r="K1" s="12"/>
      <c r="L1" s="12"/>
      <c r="N1" s="143" t="s">
        <v>207</v>
      </c>
      <c r="O1" s="144">
        <f>SUM(C8:C33)+SUM(D8:D33,E8:E33,F8:F33)</f>
        <v>351935786.43000001</v>
      </c>
    </row>
    <row r="2" spans="2:15" x14ac:dyDescent="0.25">
      <c r="B2" s="130"/>
      <c r="E2" s="130"/>
      <c r="F2" s="130"/>
      <c r="G2" s="130"/>
      <c r="H2" s="12"/>
      <c r="I2" s="12"/>
      <c r="J2" s="12"/>
      <c r="K2" s="12"/>
      <c r="L2" s="12"/>
      <c r="N2" s="145" t="s">
        <v>24</v>
      </c>
      <c r="O2" s="146">
        <f>M7</f>
        <v>369632668</v>
      </c>
    </row>
    <row r="3" spans="2:15" ht="15.75" thickBot="1" x14ac:dyDescent="0.3">
      <c r="B3" s="130"/>
      <c r="E3" s="130"/>
      <c r="F3" s="130"/>
      <c r="G3" s="130"/>
      <c r="H3" s="12"/>
      <c r="I3" s="12"/>
      <c r="J3" s="12"/>
      <c r="K3" s="12"/>
      <c r="L3" s="12"/>
      <c r="N3" s="147" t="s">
        <v>208</v>
      </c>
      <c r="O3" s="148">
        <f>O2-O1</f>
        <v>17696881.569999993</v>
      </c>
    </row>
    <row r="4" spans="2:15" x14ac:dyDescent="0.25">
      <c r="B4" s="130"/>
      <c r="E4" s="130"/>
      <c r="F4" s="130"/>
      <c r="G4" s="130"/>
      <c r="H4" s="12"/>
      <c r="I4" s="12"/>
      <c r="J4" s="12"/>
      <c r="K4" s="12"/>
      <c r="L4" s="12"/>
    </row>
    <row r="5" spans="2:15" ht="15.75" thickBot="1" x14ac:dyDescent="0.3">
      <c r="C5" s="12"/>
      <c r="D5" s="12"/>
      <c r="E5" s="12"/>
      <c r="F5" s="12"/>
      <c r="G5" s="12"/>
    </row>
    <row r="6" spans="2:15" x14ac:dyDescent="0.25">
      <c r="B6" s="149" t="s">
        <v>209</v>
      </c>
      <c r="C6" s="150" t="s">
        <v>210</v>
      </c>
      <c r="D6" s="151" t="s">
        <v>211</v>
      </c>
      <c r="E6" s="151" t="s">
        <v>212</v>
      </c>
      <c r="F6" s="151" t="s">
        <v>213</v>
      </c>
      <c r="G6" s="152" t="s">
        <v>149</v>
      </c>
      <c r="H6" s="153" t="s">
        <v>214</v>
      </c>
      <c r="I6" s="154" t="s">
        <v>211</v>
      </c>
      <c r="J6" s="155" t="s">
        <v>212</v>
      </c>
      <c r="K6" s="155" t="s">
        <v>213</v>
      </c>
      <c r="L6" s="156" t="s">
        <v>210</v>
      </c>
      <c r="M6" s="157" t="s">
        <v>36</v>
      </c>
    </row>
    <row r="7" spans="2:15" ht="15.75" thickBot="1" x14ac:dyDescent="0.3">
      <c r="B7" s="158"/>
      <c r="C7" s="159">
        <f t="shared" ref="C7:F7" si="0">SUM(C8:C35)</f>
        <v>234181952.06</v>
      </c>
      <c r="D7" s="160">
        <f t="shared" si="0"/>
        <v>37211760</v>
      </c>
      <c r="E7" s="160">
        <f t="shared" si="0"/>
        <v>50509000</v>
      </c>
      <c r="F7" s="160">
        <f t="shared" si="0"/>
        <v>47729955.939999998</v>
      </c>
      <c r="G7" s="161">
        <f>SUM(F7,E7,D7,C7)</f>
        <v>369632668</v>
      </c>
      <c r="H7" s="162"/>
      <c r="I7" s="163">
        <f>I8+I11+I20+I22+I29</f>
        <v>16125789</v>
      </c>
      <c r="J7" s="164">
        <f t="shared" ref="J7:L7" si="1">J8+J11+J20+J22+J29</f>
        <v>15429000</v>
      </c>
      <c r="K7" s="164">
        <f t="shared" si="1"/>
        <v>17159764</v>
      </c>
      <c r="L7" s="165">
        <f t="shared" si="1"/>
        <v>320918115</v>
      </c>
      <c r="M7" s="166">
        <f>SUM(M8,M11,M20,M22,M29)</f>
        <v>369632668</v>
      </c>
    </row>
    <row r="8" spans="2:15" x14ac:dyDescent="0.25">
      <c r="B8" s="204" t="s">
        <v>30</v>
      </c>
      <c r="C8" s="199">
        <f>Rektor!B49+'Právní oddělení'!B5+IT!B6+'Mimořádné a rezerva'!B3+ÚŘAS!B40+ÚŘAS!B57+'TČ a Strategie'!B3+'TČ a Strategie'!B33+'TČ a Strategie'!B45+'Prorektor - statutární zástupce'!B3+ÚVV!B3+ÚVV!B25+ÚVV!B36+ÚVV!B66+EÚ!B3+EÚ!B22+COP!B3+Kvestor!B16+Kvestor!B33+Kvestor!B53+Kvestor!B72+Kvestor!B91+Kvestor!B107+Kvestor!B126+Kvestor!B148</f>
        <v>9087088.8000000007</v>
      </c>
      <c r="D8" s="200">
        <f>ÚPS!B18</f>
        <v>0</v>
      </c>
      <c r="E8" s="200">
        <f>ÚTT!B17+ÚTT!B37+ÚTT!B56+ÚTT!B69</f>
        <v>400000</v>
      </c>
      <c r="F8" s="200">
        <f>ÚZO!B17++ÚZO!B53</f>
        <v>0</v>
      </c>
      <c r="G8" s="167">
        <f>SUM(C8,D8,E8,F8)</f>
        <v>9487088.8000000007</v>
      </c>
      <c r="H8" s="168" t="s">
        <v>215</v>
      </c>
      <c r="I8" s="169">
        <f t="shared" ref="I8:K8" si="2">SUM(I9:I10)</f>
        <v>0</v>
      </c>
      <c r="J8" s="170">
        <f t="shared" si="2"/>
        <v>0</v>
      </c>
      <c r="K8" s="170">
        <f t="shared" si="2"/>
        <v>0</v>
      </c>
      <c r="L8" s="170">
        <f>SUM(L9:L10)</f>
        <v>3800000</v>
      </c>
      <c r="M8" s="171">
        <f>SUM(M9:M10)</f>
        <v>3800000</v>
      </c>
    </row>
    <row r="9" spans="2:15" x14ac:dyDescent="0.25">
      <c r="B9" s="205" t="s">
        <v>38</v>
      </c>
      <c r="C9" s="201">
        <f>'Mimořádné a rezerva'!B4+Kvestor!B3</f>
        <v>600000</v>
      </c>
      <c r="D9" s="202">
        <v>0</v>
      </c>
      <c r="E9" s="202">
        <v>0</v>
      </c>
      <c r="F9" s="202">
        <v>0</v>
      </c>
      <c r="G9" s="167">
        <f>SUM(C9,D9,E9,F10)</f>
        <v>636000</v>
      </c>
      <c r="H9" s="174" t="s">
        <v>216</v>
      </c>
      <c r="I9" s="175">
        <v>0</v>
      </c>
      <c r="J9" s="176">
        <v>0</v>
      </c>
      <c r="K9" s="176">
        <v>0</v>
      </c>
      <c r="L9" s="176">
        <f>Kvestor!B182</f>
        <v>1400000</v>
      </c>
      <c r="M9" s="177">
        <f>SUM(I9:L9)</f>
        <v>1400000</v>
      </c>
      <c r="N9" s="30"/>
    </row>
    <row r="10" spans="2:15" x14ac:dyDescent="0.25">
      <c r="B10" s="205" t="s">
        <v>11</v>
      </c>
      <c r="C10" s="201">
        <f>Rektor!B14+Rektor!B33+Rektor!B50+'Právní oddělení'!B6+IT!B6+'Mimořádné a rezerva'!B5+VPEMPV!B3+ÚŘAS!B21+ÚŘAS!B39+ÚŘAS!B58+'TČ a Strategie'!B4+'TČ a Strategie'!B34+'TČ a Strategie'!B46+'Prorektor - statutární zástupce'!B4+'Prorektor - statutární zástupce'!B29+ÚVV!B4+ÚVV!B26+ÚVV!B58+ÚVV!B67+EÚ!B4+EÚ!B23+COP!B4+Kvestor!B4+Kvestor!B17+Kvestor!B34+Kvestor!B54+Kvestor!B73+Kvestor!B92+Kvestor!B108+Kvestor!B127+Kvestor!B149</f>
        <v>10740744.4</v>
      </c>
      <c r="D10" s="202">
        <f>ÚPS!B3+ÚPS!B19+ÚPS!B40+ÚPS!B56+ÚPS!B73+ÚPS!B85+ÚPS!B103+ÚPS!B113</f>
        <v>67000</v>
      </c>
      <c r="E10" s="202">
        <f>ÚTT!B3+ÚTT!B18+ÚTT!B38+ÚTT!B57+ÚTT!B70+ÚTT!B84+ÚTT!B96+ÚTT!B100+ÚTT!B108</f>
        <v>1800000</v>
      </c>
      <c r="F10" s="202">
        <f>ÚZO!B3+ÚZO!B18+ÚZO!B37+ÚZO!B52+ÚZO!B68+ÚZO!B99</f>
        <v>36000</v>
      </c>
      <c r="G10" s="167">
        <f t="shared" ref="G10:G24" si="3">SUM(C10,D10,E10,F10)</f>
        <v>12643744.4</v>
      </c>
      <c r="H10" s="174" t="s">
        <v>217</v>
      </c>
      <c r="I10" s="175">
        <v>0</v>
      </c>
      <c r="J10" s="176">
        <v>0</v>
      </c>
      <c r="K10" s="176">
        <v>0</v>
      </c>
      <c r="L10" s="176">
        <f>Kvestor!B185</f>
        <v>2400000</v>
      </c>
      <c r="M10" s="177">
        <f>SUM(I10:L10)</f>
        <v>2400000</v>
      </c>
      <c r="N10" s="30"/>
    </row>
    <row r="11" spans="2:15" x14ac:dyDescent="0.25">
      <c r="B11" s="205" t="s">
        <v>12</v>
      </c>
      <c r="C11" s="201">
        <f>Rektor!B15+Rektor!B34+'Právní oddělení'!B7+ÚŘAS!B4+ÚŘAS!B22+'TČ a Strategie'!B6+'Prorektor - statutární zástupce'!B5+ÚVV!B5+ÚVV!B38+EÚ!B5+COP!B5+Kvestor!B35+Kvestor!B55+Kvestor!B74+Kvestor!B93+Kvestor!B109+Kvestor!B128+Kvestor!B150</f>
        <v>858148</v>
      </c>
      <c r="D11" s="202">
        <f>ÚPS!B4+ÚPS!B20+ÚPS!B41</f>
        <v>180000</v>
      </c>
      <c r="E11" s="202">
        <f>ÚTT!B4+ÚTT!B19+ÚTT!B39+ÚTT!B71</f>
        <v>70000</v>
      </c>
      <c r="F11" s="202">
        <f>ÚZO!B4+ÚZO!B19+ÚZO!B54+ÚZO!B100</f>
        <v>100000</v>
      </c>
      <c r="G11" s="167">
        <f t="shared" si="3"/>
        <v>1208148</v>
      </c>
      <c r="H11" s="178" t="s">
        <v>218</v>
      </c>
      <c r="I11" s="179">
        <f>SUM(I12:I19)</f>
        <v>4000000</v>
      </c>
      <c r="J11" s="180">
        <f t="shared" ref="J11:L11" si="4">SUM(J12:J19)</f>
        <v>2129000</v>
      </c>
      <c r="K11" s="180">
        <f>SUM(K12:K19)</f>
        <v>7000000</v>
      </c>
      <c r="L11" s="180">
        <f t="shared" si="4"/>
        <v>11400000</v>
      </c>
      <c r="M11" s="171">
        <f>SUM(M12:M19)</f>
        <v>24529000</v>
      </c>
      <c r="N11" s="30"/>
    </row>
    <row r="12" spans="2:15" x14ac:dyDescent="0.25">
      <c r="B12" s="205" t="s">
        <v>39</v>
      </c>
      <c r="C12" s="201">
        <f>'Mimořádné a rezerva'!B6+ÚŘAS!B23+ÚŘAS!B59+'TČ a Strategie'!B47+ÚVV!B39+EÚ!B24+COP!B6+Kvestor!B18+Kvestor!B36+Kvestor!B56</f>
        <v>5755000</v>
      </c>
      <c r="D12" s="202">
        <v>0</v>
      </c>
      <c r="E12" s="202">
        <v>0</v>
      </c>
      <c r="F12" s="202">
        <v>0</v>
      </c>
      <c r="G12" s="167">
        <f t="shared" si="3"/>
        <v>5755000</v>
      </c>
      <c r="H12" s="174" t="s">
        <v>219</v>
      </c>
      <c r="I12" s="175">
        <v>0</v>
      </c>
      <c r="J12" s="176">
        <v>0</v>
      </c>
      <c r="K12" s="176">
        <v>0</v>
      </c>
      <c r="L12" s="176">
        <f>ÚŘAS!B95</f>
        <v>3500000</v>
      </c>
      <c r="M12" s="177">
        <f>SUM(I12:L12)</f>
        <v>3500000</v>
      </c>
      <c r="N12" s="30"/>
    </row>
    <row r="13" spans="2:15" x14ac:dyDescent="0.25">
      <c r="B13" s="205" t="s">
        <v>13</v>
      </c>
      <c r="C13" s="201">
        <f>Rektor!B16+Rektor!B35+'Právní oddělení'!B8+IT!B7+'Mimořádné a rezerva'!B7+ÚŘAS!B24+ÚŘAS!B60+'TČ a Strategie'!B7+'TČ a Strategie'!B48+'Prorektor - statutární zástupce'!B6+ÚVV!B6+ÚVV!B40+EÚ!B25+COP!B7+Kvestor!B19+Kvestor!B37+Kvestor!B57+Kvestor!B75+Kvestor!B94+Kvestor!B129+Kvestor!B151</f>
        <v>3449100</v>
      </c>
      <c r="D13" s="202">
        <f>ÚPS!B5+ÚPS!B21+ÚPS!B42+ÚPS!B57+ÚPS!B104</f>
        <v>30000</v>
      </c>
      <c r="E13" s="202">
        <f>ÚTT!B5+ÚTT!B20+ÚTT!B40</f>
        <v>75000</v>
      </c>
      <c r="F13" s="202">
        <f>ÚZO!B5+ÚZO!B55</f>
        <v>5000</v>
      </c>
      <c r="G13" s="167">
        <f t="shared" si="3"/>
        <v>3559100</v>
      </c>
      <c r="H13" s="174" t="s">
        <v>45</v>
      </c>
      <c r="I13" s="175">
        <v>0</v>
      </c>
      <c r="J13" s="176">
        <v>0</v>
      </c>
      <c r="K13" s="176">
        <v>0</v>
      </c>
      <c r="L13" s="176">
        <f>'Mimořádné a rezerva'!B31</f>
        <v>2000000</v>
      </c>
      <c r="M13" s="177">
        <f t="shared" ref="M13:M35" si="5">SUM(I13:L13)</f>
        <v>2000000</v>
      </c>
      <c r="N13" s="30"/>
    </row>
    <row r="14" spans="2:15" x14ac:dyDescent="0.25">
      <c r="B14" s="205" t="s">
        <v>61</v>
      </c>
      <c r="C14" s="201">
        <f>Rektor!B5+Rektor!B17+Rektor!B36+'Právní oddělení'!B9+IT!B8+'Mimořádné a rezerva'!B8+VPEMPV!B4+ÚŘAS!B25++ÚŘAS!B41+ÚŘAS!B61+'TČ a Strategie'!B5+'TČ a Strategie'!B35+'TČ a Strategie'!B54+'Prorektor - statutární zástupce'!B7+'Prorektor - statutární zástupce'!B22+'Prorektor - statutární zástupce'!B30+ÚVV!B7+ÚVV!B41+ÚVV!B59+ÚVV!B68+EÚ!B6+COP!B8+Kvestor!B5+Kvestor!B20+Kvestor!B76+Kvestor!B99+Kvestor!B111+Kvestor!B130+Kvestor!B152</f>
        <v>1933900</v>
      </c>
      <c r="D14" s="202">
        <f>ÚPS!B6+ÚPS!B31+ÚPS!B49+ÚPS!B66+ÚPS!B79+ÚPS!B92+ÚPS!B116</f>
        <v>137000</v>
      </c>
      <c r="E14" s="202">
        <f>ÚTT!B6+ÚTT!B21+ÚTT!B41+ÚTT!B58+ÚTT!B72+ÚTT!B85+ÚTT!B109</f>
        <v>125000</v>
      </c>
      <c r="F14" s="202">
        <f>ÚZO!B6+ÚZO!B20+ÚZO!B38+ÚZO!B56+ÚZO!B69+ÚZO!B90+ÚZO!B101</f>
        <v>136000</v>
      </c>
      <c r="G14" s="167">
        <f t="shared" si="3"/>
        <v>2331900</v>
      </c>
      <c r="H14" s="174" t="s">
        <v>123</v>
      </c>
      <c r="I14" s="175">
        <v>0</v>
      </c>
      <c r="J14" s="176">
        <v>0</v>
      </c>
      <c r="K14" s="176">
        <v>0</v>
      </c>
      <c r="L14" s="176">
        <f>EÚ!B38</f>
        <v>2100000</v>
      </c>
      <c r="M14" s="177">
        <f t="shared" si="5"/>
        <v>2100000</v>
      </c>
      <c r="N14" s="30"/>
    </row>
    <row r="15" spans="2:15" x14ac:dyDescent="0.25">
      <c r="B15" s="205" t="s">
        <v>14</v>
      </c>
      <c r="C15" s="201">
        <f>Rektor!B18+Rektor!B37+'Právní oddělení'!B10+IT!B9+'Mimořádné a rezerva'!B9+VPEMPV!B5+ÚŘAS!B5+ÚŘAS!B26+ÚŘAS!B42+'TČ a Strategie'!B8+'TČ a Strategie'!B49+'Prorektor - statutární zástupce'!B8+'Prorektor - statutární zástupce'!B23+'Prorektor - statutární zástupce'!B31+ÚVV!B8+ÚVV!B27+ÚVV!B42+ÚVV!B69+EÚ!B7+COP!B9+Kvestor!B6+Kvestor!B21+Kvestor!B38+Kvestor!B58+Kvestor!B77+Kvestor!B95+Kvestor!B112+Kvestor!B131+Kvestor!B153</f>
        <v>1396000</v>
      </c>
      <c r="D15" s="202">
        <f>ÚPS!B22+ÚPS!B43+ÚPS!B58+ÚPS!B74+ÚPS!B86+ÚPS!B105+ÚPS!B114</f>
        <v>57000</v>
      </c>
      <c r="E15" s="202">
        <f>ÚTT!B7+ÚTT!B22+ÚTT!B42+ÚTT!B59+ÚTT!B73+ÚTT!B86</f>
        <v>75000</v>
      </c>
      <c r="F15" s="202">
        <f>ÚZO!B7+ÚZO!B21+ÚZO!B39+ÚZO!B73+ÚZO!B102</f>
        <v>3000</v>
      </c>
      <c r="G15" s="167">
        <f t="shared" si="3"/>
        <v>1531000</v>
      </c>
      <c r="H15" s="174" t="s">
        <v>220</v>
      </c>
      <c r="I15" s="175">
        <v>0</v>
      </c>
      <c r="J15" s="176">
        <v>0</v>
      </c>
      <c r="K15" s="176">
        <v>0</v>
      </c>
      <c r="L15" s="176">
        <v>0</v>
      </c>
      <c r="M15" s="177">
        <f t="shared" si="5"/>
        <v>0</v>
      </c>
      <c r="N15" s="30"/>
    </row>
    <row r="16" spans="2:15" x14ac:dyDescent="0.25">
      <c r="B16" s="205" t="s">
        <v>15</v>
      </c>
      <c r="C16" s="201">
        <f>Rektor!B19+Rektor!B38+'Právní oddělení'!B11+IT!B10+'Mimořádné a rezerva'!B10+VPEMPV!B6+ÚŘAS!B6+ÚŘAS!B43+ÚŘAS!B63+'TČ a Strategie'!B9+'TČ a Strategie'!B36+'TČ a Strategie'!B50+'Prorektor - statutární zástupce'!B9+ÚVV!B9+ÚVV!B43+ÚVV!B70+EÚ!B8+COP!B10+Kvestor!B7+Kvestor!B22+Kvestor!B39+Kvestor!B59+Kvestor!B78+Kvestor!B113+Kvestor!B132+Kvestor!B154</f>
        <v>5176000</v>
      </c>
      <c r="D16" s="202">
        <f>ÚPS!B23+ÚPS!B59</f>
        <v>30000</v>
      </c>
      <c r="E16" s="202">
        <f>ÚTT!B23+ÚTT!B43+ÚTT!B60</f>
        <v>240000</v>
      </c>
      <c r="F16" s="202">
        <f>ÚZO!B22+ÚZO!B40+ÚZO!B57+ÚZO!B107</f>
        <v>11000</v>
      </c>
      <c r="G16" s="167">
        <f t="shared" si="3"/>
        <v>5457000</v>
      </c>
      <c r="H16" s="174" t="s">
        <v>145</v>
      </c>
      <c r="I16" s="175">
        <v>0</v>
      </c>
      <c r="J16" s="176">
        <f>ÚTT!B137</f>
        <v>29000</v>
      </c>
      <c r="K16" s="176">
        <v>0</v>
      </c>
      <c r="L16" s="176">
        <f>Kvestor!B186</f>
        <v>300000</v>
      </c>
      <c r="M16" s="177">
        <f t="shared" si="5"/>
        <v>329000</v>
      </c>
      <c r="N16" s="30"/>
    </row>
    <row r="17" spans="2:14" x14ac:dyDescent="0.25">
      <c r="B17" s="205" t="s">
        <v>6</v>
      </c>
      <c r="C17" s="201">
        <f>Rektor!B8+'Právní oddělení'!B12+IT!B11+'Mimořádné a rezerva'!B11+VPEMPV!B7+ÚŘAS!B7+'TČ a Strategie'!B51+'Prorektor - statutární zástupce'!B10+'Prorektor - statutární zástupce'!B32+ÚVV!B10+ÚVV!B44+ÚVV!B71+EÚ!B9+Kvestor!B79+Kvestor!B114+Kvestor!B133</f>
        <v>2879942.06</v>
      </c>
      <c r="D17" s="202">
        <f>ÚPS!B7+ÚPS!B24+ÚPS!B45+ÚPS!B60</f>
        <v>82000</v>
      </c>
      <c r="E17" s="202">
        <f>ÚTT!B24</f>
        <v>50000</v>
      </c>
      <c r="F17" s="202">
        <f>ÚZO!B23+ÚZO!B41</f>
        <v>3000</v>
      </c>
      <c r="G17" s="167">
        <f t="shared" si="3"/>
        <v>3014942.06</v>
      </c>
      <c r="H17" s="174" t="s">
        <v>115</v>
      </c>
      <c r="I17" s="175">
        <v>0</v>
      </c>
      <c r="J17" s="176">
        <v>0</v>
      </c>
      <c r="K17" s="176">
        <v>0</v>
      </c>
      <c r="L17" s="176">
        <f>ÚVV!B89</f>
        <v>1500000</v>
      </c>
      <c r="M17" s="177">
        <f t="shared" si="5"/>
        <v>1500000</v>
      </c>
      <c r="N17" s="30"/>
    </row>
    <row r="18" spans="2:14" x14ac:dyDescent="0.25">
      <c r="B18" s="205" t="s">
        <v>4</v>
      </c>
      <c r="C18" s="201">
        <f>Rektor!B6+Rektor!B20+Rektor!B39+Rektor!B51+'Právní oddělení'!B13+IT!B12+'Mimořádné a rezerva'!B12+VPEMPV!B8+ÚŘAS!B8+ÚŘAS!B27+ÚŘAS!B44+ÚŘAS!B64+'TČ a Strategie'!B10+'TČ a Strategie'!B37+'TČ a Strategie'!B52+'Prorektor - statutární zástupce'!B11+'Prorektor - statutární zástupce'!B24+'Prorektor - statutární zástupce'!B33+ÚVV!B11+ÚVV!B28+ÚVV!B45+ÚVV!B61+ÚVV!B72+EÚ!B10+EÚ!B26+COP!B11+Kvestor!B8+Kvestor!B23+Kvestor!B40+Kvestor!B60+Kvestor!B80+Kvestor!B96++Kvestor!B116+Kvestor!B135+Kvestor!B156+Kvestor!B167</f>
        <v>26253674.600000001</v>
      </c>
      <c r="D18" s="202">
        <f>ÚPS!B8+ÚPS!B25+ÚPS!B26+ÚPS!B44+ÚPS!B61+ÚPS!B75+ÚPS!B87+ÚPS!B98+ÚPS!B107+ÚPS!B117</f>
        <v>833000</v>
      </c>
      <c r="E18" s="202">
        <f>ÚTT!B8+ÚTT!B25+ÚTT!B44+ÚTT!B61+ÚTT!B74+ÚTT!B87+ÚTT!B97+ÚTT!B101+ÚTT!B110</f>
        <v>905000</v>
      </c>
      <c r="F18" s="202">
        <f>ÚZO!B8+ÚZO!B24+ÚZO!B25+ÚZO!B42+ÚZO!B58+ÚZO!B70+ÚZO!B84+ÚZO!B93+ÚZO!B103</f>
        <v>1674149.3</v>
      </c>
      <c r="G18" s="167">
        <f t="shared" si="3"/>
        <v>29665823.900000002</v>
      </c>
      <c r="H18" s="174" t="s">
        <v>47</v>
      </c>
      <c r="I18" s="175">
        <f>ÚPS!B132</f>
        <v>4000000</v>
      </c>
      <c r="J18" s="176">
        <f>ÚTT!B135</f>
        <v>2000000</v>
      </c>
      <c r="K18" s="176">
        <f>ÚZO!B122</f>
        <v>7000000</v>
      </c>
      <c r="L18" s="176">
        <f>'TČ a Strategie'!B69</f>
        <v>2000000</v>
      </c>
      <c r="M18" s="177">
        <f t="shared" si="5"/>
        <v>15000000</v>
      </c>
      <c r="N18" s="30"/>
    </row>
    <row r="19" spans="2:14" x14ac:dyDescent="0.25">
      <c r="B19" s="205" t="s">
        <v>16</v>
      </c>
      <c r="C19" s="201">
        <f>Rektor!B21+'Právní oddělení'!B14+IT!B13+'Mimořádné a rezerva'!B13+ÚŘAS!B9+ÚŘAS!B28+ÚŘAS!B45+ÚŘAS!B65+'TČ a Strategie'!B38+'TČ a Strategie'!B53+'Prorektor - statutární zástupce'!B12+ÚVV!B13+ÚVV!B29+ÚVV!B46+EÚ!B11+COP!B12+Kvestor!B9+Kvestor!B24+Kvestor!B41+Kvestor!B61+Kvestor!B81</f>
        <v>345500</v>
      </c>
      <c r="D19" s="202">
        <f>ÚPS!B27+ÚPS!B46+ÚPS!B62+ÚPS!B88</f>
        <v>5000</v>
      </c>
      <c r="E19" s="202">
        <f>ÚTT!B26+ÚTT!B45</f>
        <v>0</v>
      </c>
      <c r="F19" s="202">
        <f>ÚZO!B26+ÚZO!B43+ÚZO!B104</f>
        <v>0</v>
      </c>
      <c r="G19" s="167">
        <f t="shared" si="3"/>
        <v>350500</v>
      </c>
      <c r="H19" s="181" t="s">
        <v>221</v>
      </c>
      <c r="I19" s="175">
        <v>0</v>
      </c>
      <c r="J19" s="176">
        <f>ÚTT!B138</f>
        <v>100000</v>
      </c>
      <c r="K19" s="176">
        <v>0</v>
      </c>
      <c r="L19" s="176">
        <v>0</v>
      </c>
      <c r="M19" s="177">
        <f t="shared" si="5"/>
        <v>100000</v>
      </c>
      <c r="N19" s="30"/>
    </row>
    <row r="20" spans="2:14" x14ac:dyDescent="0.25">
      <c r="B20" s="205" t="s">
        <v>17</v>
      </c>
      <c r="C20" s="201">
        <f>Rektor!B22+'Mimořádné a rezerva'!B14+ÚŘAS!B10+ÚŘAS!B30+ÚŘAS!B46+'TČ a Strategie'!B11+'Prorektor - statutární zástupce'!B34+ÚVV!B14+ÚVV!B30+ÚVV!B47+ÚVV!B62+ÚVV!B76+COP!B13+Kvestor!B42+Kvestor!B82+Kvestor!B117+Kvestor!B136+Kvestor!B157+Kvestor!B166</f>
        <v>6988000</v>
      </c>
      <c r="D20" s="202">
        <f>ÚPS!B28+ÚPS!B63+ÚPS!B76+ÚPS!B89</f>
        <v>5000</v>
      </c>
      <c r="E20" s="202">
        <f>ÚTT!B46</f>
        <v>0</v>
      </c>
      <c r="F20" s="202">
        <f>ÚZO!B27</f>
        <v>0</v>
      </c>
      <c r="G20" s="167">
        <f t="shared" si="3"/>
        <v>6993000</v>
      </c>
      <c r="H20" s="178" t="s">
        <v>222</v>
      </c>
      <c r="I20" s="180">
        <f t="shared" ref="I20:L20" si="6">I21</f>
        <v>0</v>
      </c>
      <c r="J20" s="180">
        <f>J21</f>
        <v>0</v>
      </c>
      <c r="K20" s="180">
        <f t="shared" si="6"/>
        <v>0</v>
      </c>
      <c r="L20" s="180">
        <f t="shared" si="6"/>
        <v>600000</v>
      </c>
      <c r="M20" s="171">
        <f>SUM(M21)</f>
        <v>600000</v>
      </c>
      <c r="N20" s="30"/>
    </row>
    <row r="21" spans="2:14" x14ac:dyDescent="0.25">
      <c r="B21" s="205" t="s">
        <v>5</v>
      </c>
      <c r="C21" s="201">
        <f>Rektor!B7+Rektor!B23+Rektor!B40+'Právní oddělení'!B15+IT!B14+'Mimořádné a rezerva'!B15+ÚŘAS!B31+ÚŘAS!B47+'TČ a Strategie'!B12+'TČ a Strategie'!B39+'TČ a Strategie'!B55+'Prorektor - statutární zástupce'!B13+'Prorektor - statutární zástupce'!B35+ÚVV!B15+ÚVV!B49+ÚVV!B63+ÚVV!B73+EÚ!B12+COP!B14+Kvestor!B25+Kvestor!B43+Kvestor!B62+Kvestor!B83+Kvestor!B98+Kvestor!B118+Kvestor!B137+Kvestor!B155</f>
        <v>855000</v>
      </c>
      <c r="D21" s="202">
        <f>ÚPS!B9+ÚPS!B30+ÚPS!B48+ÚPS!B65+ÚPS!B78+ÚPS!B91</f>
        <v>195000</v>
      </c>
      <c r="E21" s="202">
        <f>ÚTT!B27+ÚTT!B47+ÚTT!B62+ÚTT!B75+ÚTT!B88</f>
        <v>425000</v>
      </c>
      <c r="F21" s="202">
        <f>ÚZO!B29+ÚZO!B44+ÚZO!B60+ÚZO!B71+ÚZO!B91+ÚZO!B105</f>
        <v>140000</v>
      </c>
      <c r="G21" s="167">
        <f t="shared" si="3"/>
        <v>1615000</v>
      </c>
      <c r="H21" s="174" t="s">
        <v>143</v>
      </c>
      <c r="I21" s="175">
        <v>0</v>
      </c>
      <c r="J21" s="176">
        <v>0</v>
      </c>
      <c r="K21" s="176">
        <v>0</v>
      </c>
      <c r="L21" s="176">
        <f>Kvestor!B184</f>
        <v>600000</v>
      </c>
      <c r="M21" s="177">
        <f t="shared" si="5"/>
        <v>600000</v>
      </c>
      <c r="N21" s="30"/>
    </row>
    <row r="22" spans="2:14" x14ac:dyDescent="0.25">
      <c r="B22" s="205" t="s">
        <v>7</v>
      </c>
      <c r="C22" s="201">
        <f>Rektor!B9+Rektor!B24+Rektor!B41+'Právní oddělení'!B16+IT!B15+'Mimořádné a rezerva'!B16+ÚŘAS!B11+ÚŘAS!B29+ÚŘAS!B48+ÚŘAS!B66+'TČ a Strategie'!B13+'TČ a Strategie'!B56+'Prorektor - statutární zástupce'!B14+ÚVV!B12+ÚVV!B48+EÚ!B13+COP!B15+Kvestor!B10+Kvestor!B26+Kvestor!B44+Kvestor!B63+Kvestor!B84+Kvestor!B97+Kvestor!B115+Kvestor!B134</f>
        <v>296500</v>
      </c>
      <c r="D22" s="202">
        <f>ÚPS!B10+ÚPS!B29+ÚPS!B47+ÚPS!B64+ÚPS!B77+ÚPS!B90+ÚPS!B106+ÚPS!B115</f>
        <v>47000</v>
      </c>
      <c r="E22" s="202">
        <f>ÚTT!B9+ÚTT!B28+ÚTT!B48+ÚTT!B63+ÚTT!B76+ÚTT!B89+ÚTT!B102+ÚTT!B111</f>
        <v>32000</v>
      </c>
      <c r="F22" s="202">
        <f>ÚZO!B9+ÚZO!B28+ÚZO!B45+ÚZO!B59+ÚZO!B72+ÚZO!B92+ÚZO!B106</f>
        <v>32149.119999999999</v>
      </c>
      <c r="G22" s="167">
        <f t="shared" si="3"/>
        <v>407649.12</v>
      </c>
      <c r="H22" s="178" t="s">
        <v>223</v>
      </c>
      <c r="I22" s="179">
        <f>SUM(I23:I28)</f>
        <v>10878080</v>
      </c>
      <c r="J22" s="180">
        <f t="shared" ref="J22:L22" si="7">SUM(J23:J28)</f>
        <v>800000</v>
      </c>
      <c r="K22" s="180">
        <f t="shared" si="7"/>
        <v>1500000</v>
      </c>
      <c r="L22" s="180">
        <f t="shared" si="7"/>
        <v>31566200</v>
      </c>
      <c r="M22" s="171">
        <f>SUM(M23:M28)</f>
        <v>44744280</v>
      </c>
      <c r="N22" s="30"/>
    </row>
    <row r="23" spans="2:14" x14ac:dyDescent="0.25">
      <c r="B23" s="205" t="s">
        <v>8</v>
      </c>
      <c r="C23" s="201">
        <f>Rektor!B10+Rektor!B25+Rektor!B42+Rektor!B52+'Právní oddělení'!B17+IT!B16+'Mimořádné a rezerva'!B17+VPEMPV!B9+ÚŘAS!B12+ÚŘAS!B32+ÚŘAS!B49+ÚŘAS!B67+ÚŘAS!B74+'TČ a Strategie'!B14+'TČ a Strategie'!B30+'TČ a Strategie'!B40+'TČ a Strategie'!B57+'Prorektor - statutární zástupce'!B15+'Prorektor - statutární zástupce'!B25+'Prorektor - statutární zástupce'!B36+ÚVV!B16+ÚVV!B50+EÚ!B14+EÚ!B28+COP!B16+Kvestor!B11+Kvestor!B27+Kvestor!B45+Kvestor!B64+Kvestor!B85+Kvestor!B100+Kvestor!B119+Kvestor!B138+Kvestor!B158+Kvestor!B163+Kvestor!B168</f>
        <v>124164242</v>
      </c>
      <c r="D23" s="202">
        <f>ÚPS!B11+ÚPS!B32+ÚPS!B50+ÚPS!B67+ÚPS!B80+ÚPS!B93+ÚPS!B99+ÚPS!B108+ÚPS!B118</f>
        <v>32405600</v>
      </c>
      <c r="E23" s="202">
        <f>ÚTT!B10+ÚTT!B29+ÚTT!B49+ÚTT!B64+ÚTT!B77+ÚTT!B90+ÚTT!B103+ÚTT!B112</f>
        <v>45448900</v>
      </c>
      <c r="F23" s="202">
        <f>ÚZO!B10+ÚZO!B30+ÚZO!B46+ÚZO!B61+ÚZO!B74+ÚZO!B80+ÚZO!B85+ÚZO!B94+ÚZO!B108</f>
        <v>27085557.210000001</v>
      </c>
      <c r="G23" s="167">
        <f t="shared" si="3"/>
        <v>229104299.21000001</v>
      </c>
      <c r="H23" s="174" t="s">
        <v>31</v>
      </c>
      <c r="I23" s="175">
        <f>ÚPS!B137</f>
        <v>9500000</v>
      </c>
      <c r="J23" s="176">
        <v>0</v>
      </c>
      <c r="K23" s="176">
        <v>0</v>
      </c>
      <c r="L23" s="176">
        <f>VPEMPV!B19+ÚŘAS!B97+ÚVV!B80+EÚ!B37+COP!B26+Kvestor!B181+Rektor!B60+'Právní oddělení'!B28+'Mimořádné a rezerva'!B32+ÚŘAS!B96</f>
        <v>2000000</v>
      </c>
      <c r="M23" s="177">
        <f t="shared" si="5"/>
        <v>11500000</v>
      </c>
      <c r="N23" s="30"/>
    </row>
    <row r="24" spans="2:14" x14ac:dyDescent="0.25">
      <c r="B24" s="205" t="s">
        <v>18</v>
      </c>
      <c r="C24" s="201">
        <f>Rektor!B26+Rektor!B43+Rektor!B53+'Právní oddělení'!B18+IT!B17+'Mimořádné a rezerva'!B18+ÚŘAS!B68+ÚŘAS!B52+ÚŘAS!B33+ÚŘAS!B13+'TČ a Strategie'!B15+'TČ a Strategie'!B58+'Prorektor - statutární zástupce'!B16+'Prorektor - statutární zástupce'!B37+ÚVV!B17+ÚVV!B31+ÚVV!B51+EÚ!B29+EÚ!B15+COP!B17+Kvestor!B28+Kvestor!B46+Kvestor!B65+Kvestor!B86+Kvestor!B101+Kvestor!B120+Kvestor!B139</f>
        <v>1682972.2000000002</v>
      </c>
      <c r="D24" s="202">
        <f>ÚPS!B33+ÚPS!B12</f>
        <v>0</v>
      </c>
      <c r="E24" s="202">
        <f>ÚTT!B11+ÚTT!B30+ÚTT!B78</f>
        <v>5000</v>
      </c>
      <c r="F24" s="202">
        <f>ÚZO!B11+ÚZO!B62+ÚZO!B75+ÚZO!B109</f>
        <v>0</v>
      </c>
      <c r="G24" s="167">
        <f t="shared" si="3"/>
        <v>1687972.2000000002</v>
      </c>
      <c r="H24" s="174" t="s">
        <v>224</v>
      </c>
      <c r="I24" s="175">
        <f>ÚPS!B134</f>
        <v>1378080</v>
      </c>
      <c r="J24" s="176">
        <f>ÚTT!B133</f>
        <v>800000</v>
      </c>
      <c r="K24" s="176">
        <f>ÚZO!B118</f>
        <v>1500000</v>
      </c>
      <c r="L24" s="176">
        <f>'Mimořádné a rezerva'!B29+ÚŘAS!B101+VPEMPV!B16+ÚVV!B81</f>
        <v>15566200</v>
      </c>
      <c r="M24" s="177">
        <f t="shared" si="5"/>
        <v>19244280</v>
      </c>
      <c r="N24" s="30"/>
    </row>
    <row r="25" spans="2:14" x14ac:dyDescent="0.25">
      <c r="B25" s="205" t="s">
        <v>58</v>
      </c>
      <c r="C25" s="201">
        <f>ÚŘAS!B14+EÚ!B16+EÚ!B31+Kvestor!B47</f>
        <v>96500</v>
      </c>
      <c r="D25" s="203">
        <v>0</v>
      </c>
      <c r="E25" s="202">
        <v>0</v>
      </c>
      <c r="F25" s="202">
        <v>0</v>
      </c>
      <c r="G25" s="167">
        <f t="shared" ref="G25:G32" si="8">SUM(C25,D25,E25,F25)</f>
        <v>96500</v>
      </c>
      <c r="H25" s="181" t="s">
        <v>225</v>
      </c>
      <c r="I25" s="175">
        <v>0</v>
      </c>
      <c r="J25" s="176">
        <v>0</v>
      </c>
      <c r="K25" s="176">
        <v>0</v>
      </c>
      <c r="L25" s="176">
        <v>0</v>
      </c>
      <c r="M25" s="177">
        <f t="shared" si="5"/>
        <v>0</v>
      </c>
      <c r="N25" s="30"/>
    </row>
    <row r="26" spans="2:14" x14ac:dyDescent="0.25">
      <c r="B26" s="205" t="s">
        <v>19</v>
      </c>
      <c r="C26" s="201">
        <f>Rektor!B27+Rektor!B44+'Právní oddělení'!B19+IT!B18+'Mimořádné a rezerva'!B19+VPEMPV!B10+ÚŘAS!B15+ÚŘAS!B50+ÚŘAS!B69+'TČ a Strategie'!B16+'TČ a Strategie'!B41+'TČ a Strategie'!B59+'Prorektor - statutární zástupce'!B17+ÚVV!B20+ÚVV!B52+ÚVV!B75+EÚ!B17+EÚ!B30+COP!B18+Kvestor!B12+Kvestor!B29+Kvestor!B48+Kvestor!B66+Kvestor!B87+Kvestor!B102+Kvestor!B121+Kvestor!B140+Kvestor!B159</f>
        <v>1701600</v>
      </c>
      <c r="D26" s="202">
        <f>ÚPS!B13+ÚPS!B34+ÚPS!B51+ÚPS!B68+ÚPS!B81+ÚPS!B94+ÚPS!B109</f>
        <v>371000</v>
      </c>
      <c r="E26" s="202">
        <f>ÚTT!B113+ÚTT!B104+ÚTT!B91+ÚTT!B79+ÚTT!B65+ÚTT!B51+ÚTT!B31+ÚTT!B13</f>
        <v>58000</v>
      </c>
      <c r="F26" s="202">
        <f>ÚZO!B12+ÚZO!B31+ÚZO!B47+ÚZO!B63+ÚZO!B76+ÚZO!B95+ÚZO!B110</f>
        <v>57134.74</v>
      </c>
      <c r="G26" s="167">
        <f t="shared" si="8"/>
        <v>2187734.7400000002</v>
      </c>
      <c r="H26" s="174" t="s">
        <v>142</v>
      </c>
      <c r="I26" s="175">
        <v>0</v>
      </c>
      <c r="J26" s="176">
        <v>0</v>
      </c>
      <c r="K26" s="176">
        <v>0</v>
      </c>
      <c r="L26" s="176">
        <f>Kvestor!B183</f>
        <v>14000000</v>
      </c>
      <c r="M26" s="177">
        <f t="shared" si="5"/>
        <v>14000000</v>
      </c>
      <c r="N26" s="30"/>
    </row>
    <row r="27" spans="2:14" x14ac:dyDescent="0.25">
      <c r="B27" s="205" t="s">
        <v>41</v>
      </c>
      <c r="C27" s="201">
        <f>'Mimořádné a rezerva'!B21+'TČ a Strategie'!B17+'TČ a Strategie'!B60</f>
        <v>295000</v>
      </c>
      <c r="D27" s="202">
        <v>0</v>
      </c>
      <c r="E27" s="202">
        <v>0</v>
      </c>
      <c r="F27" s="202">
        <f>ÚZO!B48</f>
        <v>0</v>
      </c>
      <c r="G27" s="167">
        <f t="shared" si="8"/>
        <v>295000</v>
      </c>
      <c r="H27" s="174" t="s">
        <v>226</v>
      </c>
      <c r="I27" s="175">
        <v>0</v>
      </c>
      <c r="J27" s="176">
        <v>0</v>
      </c>
      <c r="K27" s="176">
        <v>0</v>
      </c>
      <c r="L27" s="176">
        <v>0</v>
      </c>
      <c r="M27" s="177">
        <f t="shared" si="5"/>
        <v>0</v>
      </c>
      <c r="N27" s="30"/>
    </row>
    <row r="28" spans="2:14" x14ac:dyDescent="0.25">
      <c r="B28" s="205" t="s">
        <v>21</v>
      </c>
      <c r="C28" s="201">
        <f>Rektor!B29+Rektor!B45+'Právní oddělení'!B20+ÚŘAS!B35+ÚŘAS!B70+'TČ a Strategie'!B18+'Prorektor - statutární zástupce'!B18+ÚVV!B54+ÚVV!B18+EÚ!B18+COP!B19+Kvestor!B67+Kvestor!B103</f>
        <v>653340</v>
      </c>
      <c r="D28" s="202">
        <f>ÚPS!B35+ÚPS!B52</f>
        <v>1000</v>
      </c>
      <c r="E28" s="202">
        <f>ÚTT!B52+ÚTT!B12</f>
        <v>100</v>
      </c>
      <c r="F28" s="202">
        <f>ÚZO!B13+ÚZO!B32+ÚZO!B64</f>
        <v>84</v>
      </c>
      <c r="G28" s="167">
        <f t="shared" si="8"/>
        <v>654524</v>
      </c>
      <c r="H28" s="181" t="s">
        <v>227</v>
      </c>
      <c r="I28" s="175">
        <v>0</v>
      </c>
      <c r="J28" s="176">
        <v>0</v>
      </c>
      <c r="K28" s="176">
        <v>0</v>
      </c>
      <c r="L28" s="176">
        <v>0</v>
      </c>
      <c r="M28" s="177">
        <f t="shared" si="5"/>
        <v>0</v>
      </c>
      <c r="N28" s="30"/>
    </row>
    <row r="29" spans="2:14" x14ac:dyDescent="0.25">
      <c r="B29" s="205" t="s">
        <v>40</v>
      </c>
      <c r="C29" s="201">
        <f>VPEMPV!B11+ÚŘAS!B51+'TČ a Strategie'!B42+ÚVV!B53+Kvestor!B122+Kvestor!B141</f>
        <v>6156600</v>
      </c>
      <c r="D29" s="202">
        <f>ÚPS!B36</f>
        <v>1378080</v>
      </c>
      <c r="E29" s="202">
        <f>ÚTT!B32</f>
        <v>800000</v>
      </c>
      <c r="F29" s="202">
        <f>ÚZO!B33</f>
        <v>750000</v>
      </c>
      <c r="G29" s="167">
        <f t="shared" si="8"/>
        <v>9084680</v>
      </c>
      <c r="H29" s="182" t="s">
        <v>228</v>
      </c>
      <c r="I29" s="179">
        <f>SUM(I30:I35)</f>
        <v>1247709</v>
      </c>
      <c r="J29" s="180">
        <f t="shared" ref="J29:L29" si="9">SUM(J30:J35)</f>
        <v>12500000</v>
      </c>
      <c r="K29" s="180">
        <f t="shared" si="9"/>
        <v>8659764</v>
      </c>
      <c r="L29" s="180">
        <f t="shared" si="9"/>
        <v>273551915</v>
      </c>
      <c r="M29" s="171">
        <f>SUM(M30:M35)</f>
        <v>295959388</v>
      </c>
      <c r="N29" s="30"/>
    </row>
    <row r="30" spans="2:14" x14ac:dyDescent="0.25">
      <c r="B30" s="205" t="s">
        <v>229</v>
      </c>
      <c r="C30" s="201">
        <f>ÚVV!B60+ÚVV!B74</f>
        <v>3502100</v>
      </c>
      <c r="D30" s="202">
        <v>0</v>
      </c>
      <c r="E30" s="202">
        <v>0</v>
      </c>
      <c r="F30" s="202">
        <v>0</v>
      </c>
      <c r="G30" s="167">
        <f t="shared" si="8"/>
        <v>3502100</v>
      </c>
      <c r="H30" s="174" t="s">
        <v>79</v>
      </c>
      <c r="I30" s="175">
        <v>0</v>
      </c>
      <c r="J30" s="176">
        <v>0</v>
      </c>
      <c r="K30" s="176">
        <v>0</v>
      </c>
      <c r="L30" s="176">
        <f>ÚŘAS!B92</f>
        <v>172836331</v>
      </c>
      <c r="M30" s="177">
        <f t="shared" si="5"/>
        <v>172836331</v>
      </c>
      <c r="N30" s="30"/>
    </row>
    <row r="31" spans="2:14" x14ac:dyDescent="0.25">
      <c r="B31" s="205" t="s">
        <v>97</v>
      </c>
      <c r="C31" s="201">
        <f>'TČ a Strategie'!B61+Kvestor!B49</f>
        <v>19000000</v>
      </c>
      <c r="D31" s="202">
        <f>ÚPS!B36</f>
        <v>1378080</v>
      </c>
      <c r="E31" s="202">
        <f>ÚTT!B33</f>
        <v>0</v>
      </c>
      <c r="F31" s="202">
        <v>0</v>
      </c>
      <c r="G31" s="167">
        <f t="shared" si="8"/>
        <v>20378080</v>
      </c>
      <c r="H31" s="174" t="s">
        <v>81</v>
      </c>
      <c r="I31" s="175">
        <v>0</v>
      </c>
      <c r="J31" s="176">
        <v>0</v>
      </c>
      <c r="K31" s="176">
        <v>0</v>
      </c>
      <c r="L31" s="176">
        <f>ÚŘAS!B94</f>
        <v>535000</v>
      </c>
      <c r="M31" s="177">
        <f t="shared" si="5"/>
        <v>535000</v>
      </c>
      <c r="N31" s="30"/>
    </row>
    <row r="32" spans="2:14" x14ac:dyDescent="0.25">
      <c r="B32" s="205" t="s">
        <v>20</v>
      </c>
      <c r="C32" s="201">
        <f>Rektor!B28+'Mimořádné a rezerva'!B22+ÚŘAS!B17+ÚŘAS!B53+ÚVV!B19+ÚVV!B32</f>
        <v>315000</v>
      </c>
      <c r="D32" s="202">
        <f>ÚPS!B69</f>
        <v>10000</v>
      </c>
      <c r="E32" s="202">
        <f>ÚTT!B80+ÚTT!B92</f>
        <v>0</v>
      </c>
      <c r="F32" s="202">
        <v>0</v>
      </c>
      <c r="G32" s="167">
        <f t="shared" si="8"/>
        <v>325000</v>
      </c>
      <c r="H32" s="174" t="s">
        <v>230</v>
      </c>
      <c r="I32" s="175">
        <v>0</v>
      </c>
      <c r="J32" s="176">
        <v>0</v>
      </c>
      <c r="K32" s="176">
        <v>0</v>
      </c>
      <c r="L32" s="176">
        <f>ÚVV!B90</f>
        <v>4500000</v>
      </c>
      <c r="M32" s="177">
        <f t="shared" si="5"/>
        <v>4500000</v>
      </c>
      <c r="N32" s="30"/>
    </row>
    <row r="33" spans="2:14" x14ac:dyDescent="0.25">
      <c r="B33" s="205" t="s">
        <v>231</v>
      </c>
      <c r="C33" s="201">
        <v>0</v>
      </c>
      <c r="D33" s="202">
        <v>0</v>
      </c>
      <c r="E33" s="202">
        <v>0</v>
      </c>
      <c r="F33" s="202">
        <f>ÚZO!B86</f>
        <v>0</v>
      </c>
      <c r="G33" s="167">
        <f>SUM(C33,D33,E33,F33)</f>
        <v>0</v>
      </c>
      <c r="H33" s="174" t="s">
        <v>46</v>
      </c>
      <c r="I33" s="175">
        <f>ÚPS!B130</f>
        <v>1247709</v>
      </c>
      <c r="J33" s="176">
        <f>ÚTT!B125+ÚTT!B126</f>
        <v>12500000</v>
      </c>
      <c r="K33" s="176">
        <f>ÚZO!B121</f>
        <v>8659764</v>
      </c>
      <c r="L33" s="176">
        <f>'TČ a Strategie'!B70+Kvestor!B179+Rektor!B57+'Mimořádné a rezerva'!B33+ÚVV!B82</f>
        <v>94986584</v>
      </c>
      <c r="M33" s="177">
        <f t="shared" si="5"/>
        <v>117394057</v>
      </c>
      <c r="N33" s="30"/>
    </row>
    <row r="34" spans="2:14" x14ac:dyDescent="0.25">
      <c r="B34" s="183" t="s">
        <v>208</v>
      </c>
      <c r="C34" s="172">
        <v>0</v>
      </c>
      <c r="D34" s="173">
        <v>0</v>
      </c>
      <c r="E34" s="173">
        <v>0</v>
      </c>
      <c r="F34" s="173">
        <f>'Mimořádné a rezerva'!B24</f>
        <v>17696881.569999993</v>
      </c>
      <c r="G34" s="167">
        <f>SUM(C34,D34,E34,F34)</f>
        <v>17696881.569999993</v>
      </c>
      <c r="H34" s="174" t="s">
        <v>117</v>
      </c>
      <c r="I34" s="175">
        <v>0</v>
      </c>
      <c r="J34" s="176">
        <v>0</v>
      </c>
      <c r="K34" s="176">
        <v>0</v>
      </c>
      <c r="L34" s="176">
        <f>ÚVV!B91</f>
        <v>314000</v>
      </c>
      <c r="M34" s="177">
        <f t="shared" si="5"/>
        <v>314000</v>
      </c>
      <c r="N34" s="30"/>
    </row>
    <row r="35" spans="2:14" ht="15.75" thickBot="1" x14ac:dyDescent="0.3">
      <c r="B35" s="184" t="s">
        <v>232</v>
      </c>
      <c r="C35" s="185"/>
      <c r="D35" s="186"/>
      <c r="E35" s="186"/>
      <c r="F35" s="186"/>
      <c r="G35" s="187">
        <f>SUM(C35:F35)</f>
        <v>0</v>
      </c>
      <c r="H35" s="188" t="s">
        <v>233</v>
      </c>
      <c r="I35" s="189">
        <v>0</v>
      </c>
      <c r="J35" s="190">
        <v>0</v>
      </c>
      <c r="K35" s="190">
        <v>0</v>
      </c>
      <c r="L35" s="190">
        <f>ÚVV!B88</f>
        <v>380000</v>
      </c>
      <c r="M35" s="177">
        <f t="shared" si="5"/>
        <v>380000</v>
      </c>
      <c r="N35" s="30"/>
    </row>
    <row r="36" spans="2:14" ht="15.75" thickBot="1" x14ac:dyDescent="0.3">
      <c r="B36" s="192" t="s">
        <v>234</v>
      </c>
      <c r="C36" s="193"/>
      <c r="D36" s="194"/>
      <c r="E36" s="194"/>
      <c r="F36" s="195"/>
      <c r="G36" s="191">
        <f>SUM(Kvestor!B171:B174)</f>
        <v>34900000</v>
      </c>
      <c r="H36" s="196" t="s">
        <v>235</v>
      </c>
      <c r="I36" s="197"/>
      <c r="J36" s="197"/>
      <c r="K36" s="197"/>
      <c r="L36" s="198"/>
      <c r="M36" s="191">
        <f>SUM(Kvestor!B189:B191)</f>
        <v>34900000</v>
      </c>
    </row>
  </sheetData>
  <pageMargins left="0.7" right="0.7" top="0.78740157499999996" bottom="0.78740157499999996" header="0.3" footer="0.3"/>
  <pageSetup paperSize="9" scale="5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E9488-63EA-4187-AD61-341E228B69CE}">
  <sheetPr>
    <tabColor rgb="FFFFC000"/>
  </sheetPr>
  <dimension ref="A1:C63"/>
  <sheetViews>
    <sheetView topLeftCell="A46" zoomScaleNormal="100" workbookViewId="0">
      <selection activeCell="B9" sqref="B9"/>
    </sheetView>
  </sheetViews>
  <sheetFormatPr defaultColWidth="8.85546875" defaultRowHeight="15" x14ac:dyDescent="0.25"/>
  <cols>
    <col min="1" max="1" width="37.28515625" bestFit="1" customWidth="1"/>
    <col min="2" max="2" width="16.28515625" customWidth="1"/>
    <col min="3" max="3" width="13.5703125" bestFit="1" customWidth="1"/>
  </cols>
  <sheetData>
    <row r="1" spans="1:3" ht="19.5" customHeight="1" thickTop="1" x14ac:dyDescent="0.25">
      <c r="A1" s="206" t="s">
        <v>0</v>
      </c>
      <c r="B1" s="209" t="s">
        <v>1</v>
      </c>
    </row>
    <row r="2" spans="1:3" ht="21.75" customHeight="1" x14ac:dyDescent="0.25">
      <c r="A2" s="207"/>
      <c r="B2" s="210"/>
    </row>
    <row r="3" spans="1:3" ht="15.75" thickBot="1" x14ac:dyDescent="0.3">
      <c r="A3" s="208"/>
      <c r="B3" s="211"/>
    </row>
    <row r="4" spans="1:3" ht="15.75" thickBot="1" x14ac:dyDescent="0.3">
      <c r="A4" s="3" t="s">
        <v>2</v>
      </c>
      <c r="B4" s="4">
        <f>SUM(B5:B11)</f>
        <v>910740</v>
      </c>
    </row>
    <row r="5" spans="1:3" x14ac:dyDescent="0.25">
      <c r="A5" s="6" t="s">
        <v>3</v>
      </c>
      <c r="B5" s="7">
        <v>3000</v>
      </c>
    </row>
    <row r="6" spans="1:3" x14ac:dyDescent="0.25">
      <c r="A6" s="6" t="s">
        <v>4</v>
      </c>
      <c r="B6" s="7">
        <v>150000</v>
      </c>
    </row>
    <row r="7" spans="1:3" x14ac:dyDescent="0.25">
      <c r="A7" s="6" t="s">
        <v>5</v>
      </c>
      <c r="B7" s="7">
        <v>4000</v>
      </c>
    </row>
    <row r="8" spans="1:3" x14ac:dyDescent="0.25">
      <c r="A8" s="6" t="s">
        <v>6</v>
      </c>
      <c r="B8" s="7">
        <v>0</v>
      </c>
    </row>
    <row r="9" spans="1:3" x14ac:dyDescent="0.25">
      <c r="A9" s="6" t="s">
        <v>7</v>
      </c>
      <c r="B9" s="7">
        <v>5000</v>
      </c>
    </row>
    <row r="10" spans="1:3" x14ac:dyDescent="0.25">
      <c r="A10" s="8" t="s">
        <v>8</v>
      </c>
      <c r="B10" s="9">
        <v>738740</v>
      </c>
    </row>
    <row r="11" spans="1:3" x14ac:dyDescent="0.25">
      <c r="A11" s="6" t="s">
        <v>9</v>
      </c>
      <c r="B11" s="7">
        <v>10000</v>
      </c>
    </row>
    <row r="12" spans="1:3" ht="15.75" thickBot="1" x14ac:dyDescent="0.3">
      <c r="A12" s="10"/>
      <c r="B12" s="11"/>
    </row>
    <row r="13" spans="1:3" ht="15.75" thickBot="1" x14ac:dyDescent="0.3">
      <c r="A13" s="3" t="s">
        <v>10</v>
      </c>
      <c r="B13" s="4">
        <f>SUM(B14:B30)</f>
        <v>5026000</v>
      </c>
      <c r="C13" s="12"/>
    </row>
    <row r="14" spans="1:3" x14ac:dyDescent="0.25">
      <c r="A14" s="6" t="s">
        <v>11</v>
      </c>
      <c r="B14" s="7">
        <v>50000</v>
      </c>
    </row>
    <row r="15" spans="1:3" x14ac:dyDescent="0.25">
      <c r="A15" s="6" t="s">
        <v>12</v>
      </c>
      <c r="B15" s="7">
        <v>150000</v>
      </c>
    </row>
    <row r="16" spans="1:3" x14ac:dyDescent="0.25">
      <c r="A16" s="6" t="s">
        <v>13</v>
      </c>
      <c r="B16" s="7">
        <v>30000</v>
      </c>
    </row>
    <row r="17" spans="1:3" x14ac:dyDescent="0.25">
      <c r="A17" s="6" t="s">
        <v>3</v>
      </c>
      <c r="B17" s="7">
        <v>12000</v>
      </c>
    </row>
    <row r="18" spans="1:3" x14ac:dyDescent="0.25">
      <c r="A18" s="6" t="s">
        <v>14</v>
      </c>
      <c r="B18" s="7">
        <v>50000</v>
      </c>
      <c r="C18" s="13"/>
    </row>
    <row r="19" spans="1:3" x14ac:dyDescent="0.25">
      <c r="A19" s="6" t="s">
        <v>15</v>
      </c>
      <c r="B19" s="7">
        <v>0</v>
      </c>
    </row>
    <row r="20" spans="1:3" x14ac:dyDescent="0.25">
      <c r="A20" s="6" t="s">
        <v>4</v>
      </c>
      <c r="B20" s="7">
        <v>10000</v>
      </c>
    </row>
    <row r="21" spans="1:3" x14ac:dyDescent="0.25">
      <c r="A21" s="6" t="s">
        <v>16</v>
      </c>
      <c r="B21" s="7">
        <v>0</v>
      </c>
    </row>
    <row r="22" spans="1:3" x14ac:dyDescent="0.25">
      <c r="A22" s="6" t="s">
        <v>17</v>
      </c>
      <c r="B22" s="7">
        <v>0</v>
      </c>
    </row>
    <row r="23" spans="1:3" x14ac:dyDescent="0.25">
      <c r="A23" s="6" t="s">
        <v>5</v>
      </c>
      <c r="B23" s="7">
        <v>18000</v>
      </c>
    </row>
    <row r="24" spans="1:3" x14ac:dyDescent="0.25">
      <c r="A24" s="6" t="s">
        <v>7</v>
      </c>
      <c r="B24" s="7">
        <v>10000</v>
      </c>
    </row>
    <row r="25" spans="1:3" x14ac:dyDescent="0.25">
      <c r="A25" s="8" t="s">
        <v>8</v>
      </c>
      <c r="B25" s="9">
        <v>2000000</v>
      </c>
    </row>
    <row r="26" spans="1:3" x14ac:dyDescent="0.25">
      <c r="A26" s="6" t="s">
        <v>18</v>
      </c>
      <c r="B26" s="7">
        <v>0</v>
      </c>
    </row>
    <row r="27" spans="1:3" x14ac:dyDescent="0.25">
      <c r="A27" s="6" t="s">
        <v>19</v>
      </c>
      <c r="B27" s="7">
        <v>0</v>
      </c>
    </row>
    <row r="28" spans="1:3" x14ac:dyDescent="0.25">
      <c r="A28" s="6" t="s">
        <v>20</v>
      </c>
      <c r="B28" s="7">
        <v>0</v>
      </c>
    </row>
    <row r="29" spans="1:3" x14ac:dyDescent="0.25">
      <c r="A29" s="6" t="s">
        <v>21</v>
      </c>
      <c r="B29" s="7">
        <v>1000</v>
      </c>
    </row>
    <row r="30" spans="1:3" x14ac:dyDescent="0.25">
      <c r="A30" s="6" t="s">
        <v>153</v>
      </c>
      <c r="B30" s="7">
        <f>VPEMPV!B18</f>
        <v>2695000</v>
      </c>
    </row>
    <row r="31" spans="1:3" ht="15.75" thickBot="1" x14ac:dyDescent="0.3">
      <c r="A31" s="10"/>
      <c r="B31" s="11"/>
    </row>
    <row r="32" spans="1:3" ht="15.75" thickBot="1" x14ac:dyDescent="0.3">
      <c r="A32" s="3" t="s">
        <v>22</v>
      </c>
      <c r="B32" s="4">
        <f>SUM(B33:B46)</f>
        <v>1233880</v>
      </c>
    </row>
    <row r="33" spans="1:2" x14ac:dyDescent="0.25">
      <c r="A33" s="6" t="s">
        <v>11</v>
      </c>
      <c r="B33" s="7">
        <v>60000</v>
      </c>
    </row>
    <row r="34" spans="1:2" x14ac:dyDescent="0.25">
      <c r="A34" s="6" t="s">
        <v>12</v>
      </c>
      <c r="B34" s="7">
        <v>70000</v>
      </c>
    </row>
    <row r="35" spans="1:2" x14ac:dyDescent="0.25">
      <c r="A35" s="6" t="s">
        <v>13</v>
      </c>
      <c r="B35" s="7">
        <v>25000</v>
      </c>
    </row>
    <row r="36" spans="1:2" x14ac:dyDescent="0.25">
      <c r="A36" s="14" t="s">
        <v>3</v>
      </c>
      <c r="B36" s="7">
        <v>6000</v>
      </c>
    </row>
    <row r="37" spans="1:2" x14ac:dyDescent="0.25">
      <c r="A37" s="6" t="s">
        <v>14</v>
      </c>
      <c r="B37" s="7">
        <v>140000</v>
      </c>
    </row>
    <row r="38" spans="1:2" x14ac:dyDescent="0.25">
      <c r="A38" s="6" t="s">
        <v>15</v>
      </c>
      <c r="B38" s="7">
        <v>0</v>
      </c>
    </row>
    <row r="39" spans="1:2" x14ac:dyDescent="0.25">
      <c r="A39" s="6" t="s">
        <v>4</v>
      </c>
      <c r="B39" s="7">
        <v>15000</v>
      </c>
    </row>
    <row r="40" spans="1:2" x14ac:dyDescent="0.25">
      <c r="A40" s="6" t="s">
        <v>5</v>
      </c>
      <c r="B40" s="7">
        <v>0</v>
      </c>
    </row>
    <row r="41" spans="1:2" x14ac:dyDescent="0.25">
      <c r="A41" s="6" t="s">
        <v>7</v>
      </c>
      <c r="B41" s="7">
        <v>1000</v>
      </c>
    </row>
    <row r="42" spans="1:2" x14ac:dyDescent="0.25">
      <c r="A42" s="8" t="s">
        <v>8</v>
      </c>
      <c r="B42" s="9">
        <v>900080</v>
      </c>
    </row>
    <row r="43" spans="1:2" x14ac:dyDescent="0.25">
      <c r="A43" s="6" t="s">
        <v>18</v>
      </c>
      <c r="B43" s="7">
        <v>1000</v>
      </c>
    </row>
    <row r="44" spans="1:2" x14ac:dyDescent="0.25">
      <c r="A44" s="6" t="s">
        <v>19</v>
      </c>
      <c r="B44" s="7">
        <v>100</v>
      </c>
    </row>
    <row r="45" spans="1:2" x14ac:dyDescent="0.25">
      <c r="A45" s="6" t="s">
        <v>21</v>
      </c>
      <c r="B45" s="7">
        <v>100</v>
      </c>
    </row>
    <row r="46" spans="1:2" x14ac:dyDescent="0.25">
      <c r="A46" s="6" t="s">
        <v>9</v>
      </c>
      <c r="B46" s="7">
        <v>15600</v>
      </c>
    </row>
    <row r="47" spans="1:2" ht="15.75" thickBot="1" x14ac:dyDescent="0.3">
      <c r="A47" s="10"/>
      <c r="B47" s="11"/>
    </row>
    <row r="48" spans="1:2" ht="15.75" thickBot="1" x14ac:dyDescent="0.3">
      <c r="A48" s="3" t="s">
        <v>154</v>
      </c>
      <c r="B48" s="4">
        <v>14359444</v>
      </c>
    </row>
    <row r="49" spans="1:3" x14ac:dyDescent="0.25">
      <c r="A49" s="24" t="s">
        <v>30</v>
      </c>
      <c r="B49" s="7">
        <v>2871888.8000000003</v>
      </c>
      <c r="C49" s="12"/>
    </row>
    <row r="50" spans="1:3" x14ac:dyDescent="0.25">
      <c r="A50" s="6" t="s">
        <v>11</v>
      </c>
      <c r="B50" s="7">
        <v>1435944.4000000001</v>
      </c>
      <c r="C50" s="12"/>
    </row>
    <row r="51" spans="1:3" x14ac:dyDescent="0.25">
      <c r="A51" s="6" t="s">
        <v>4</v>
      </c>
      <c r="B51" s="7">
        <v>2153916.6</v>
      </c>
      <c r="C51" s="12"/>
    </row>
    <row r="52" spans="1:3" x14ac:dyDescent="0.25">
      <c r="A52" s="8" t="s">
        <v>8</v>
      </c>
      <c r="B52" s="9">
        <v>7179722</v>
      </c>
      <c r="C52" s="12"/>
    </row>
    <row r="53" spans="1:3" x14ac:dyDescent="0.25">
      <c r="A53" s="6" t="s">
        <v>18</v>
      </c>
      <c r="B53" s="7">
        <v>717972.20000000007</v>
      </c>
      <c r="C53" s="12"/>
    </row>
    <row r="54" spans="1:3" ht="15.75" thickBot="1" x14ac:dyDescent="0.3">
      <c r="A54" s="10"/>
      <c r="B54" s="11"/>
    </row>
    <row r="55" spans="1:3" ht="15.75" thickBot="1" x14ac:dyDescent="0.3">
      <c r="A55" s="15" t="s">
        <v>23</v>
      </c>
      <c r="B55" s="5">
        <f>SUM(B4,B13,B32)</f>
        <v>7170620</v>
      </c>
    </row>
    <row r="56" spans="1:3" ht="15.75" thickBot="1" x14ac:dyDescent="0.3">
      <c r="A56" s="16" t="s">
        <v>24</v>
      </c>
      <c r="B56" s="17"/>
    </row>
    <row r="57" spans="1:3" ht="15.75" thickBot="1" x14ac:dyDescent="0.3">
      <c r="A57" s="18" t="s">
        <v>46</v>
      </c>
      <c r="B57" s="19">
        <v>14359444</v>
      </c>
    </row>
    <row r="58" spans="1:3" ht="15.75" thickBot="1" x14ac:dyDescent="0.3">
      <c r="A58" s="18" t="s">
        <v>25</v>
      </c>
      <c r="B58" s="19">
        <v>500000</v>
      </c>
    </row>
    <row r="59" spans="1:3" ht="15.75" thickBot="1" x14ac:dyDescent="0.3">
      <c r="A59" s="18" t="s">
        <v>26</v>
      </c>
      <c r="B59" s="19">
        <f>B55-B58</f>
        <v>6670620</v>
      </c>
    </row>
    <row r="60" spans="1:3" ht="15.75" thickBot="1" x14ac:dyDescent="0.3">
      <c r="A60" s="18" t="s">
        <v>27</v>
      </c>
      <c r="B60" s="19">
        <v>0</v>
      </c>
    </row>
    <row r="61" spans="1:3" ht="15.75" thickBot="1" x14ac:dyDescent="0.3">
      <c r="A61" s="20" t="s">
        <v>28</v>
      </c>
      <c r="B61" s="21">
        <f>SUM(B58:B60)</f>
        <v>7170620</v>
      </c>
    </row>
    <row r="62" spans="1:3" ht="15.75" thickBot="1" x14ac:dyDescent="0.3">
      <c r="A62" s="22" t="s">
        <v>29</v>
      </c>
      <c r="B62" s="23">
        <f>B61-B55</f>
        <v>0</v>
      </c>
    </row>
    <row r="63" spans="1:3" ht="15.75" thickTop="1" x14ac:dyDescent="0.25"/>
  </sheetData>
  <mergeCells count="2">
    <mergeCell ref="A1:A3"/>
    <mergeCell ref="B1:B3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66DC0-A5A5-4C72-9E32-243963187831}">
  <sheetPr>
    <tabColor rgb="FFFFC000"/>
  </sheetPr>
  <dimension ref="A1:B31"/>
  <sheetViews>
    <sheetView topLeftCell="A15" workbookViewId="0">
      <selection activeCell="C26" sqref="C26"/>
    </sheetView>
  </sheetViews>
  <sheetFormatPr defaultColWidth="8.85546875" defaultRowHeight="15" x14ac:dyDescent="0.25"/>
  <cols>
    <col min="1" max="1" width="37.7109375" customWidth="1"/>
    <col min="2" max="2" width="14.85546875" customWidth="1"/>
  </cols>
  <sheetData>
    <row r="1" spans="1:2" ht="15.75" thickTop="1" x14ac:dyDescent="0.25">
      <c r="A1" s="206" t="s">
        <v>0</v>
      </c>
      <c r="B1" s="209" t="s">
        <v>1</v>
      </c>
    </row>
    <row r="2" spans="1:2" ht="15.75" customHeight="1" x14ac:dyDescent="0.25">
      <c r="A2" s="207"/>
      <c r="B2" s="210"/>
    </row>
    <row r="3" spans="1:2" ht="15.75" thickBot="1" x14ac:dyDescent="0.3">
      <c r="A3" s="208"/>
      <c r="B3" s="211"/>
    </row>
    <row r="4" spans="1:2" ht="15.75" thickBot="1" x14ac:dyDescent="0.3">
      <c r="A4" s="3" t="s">
        <v>148</v>
      </c>
      <c r="B4" s="4">
        <f>SUM(B5:B22)</f>
        <v>3696000</v>
      </c>
    </row>
    <row r="5" spans="1:2" x14ac:dyDescent="0.25">
      <c r="A5" s="24" t="s">
        <v>30</v>
      </c>
      <c r="B5" s="7">
        <v>10000</v>
      </c>
    </row>
    <row r="6" spans="1:2" x14ac:dyDescent="0.25">
      <c r="A6" s="14" t="s">
        <v>11</v>
      </c>
      <c r="B6" s="7">
        <v>15000</v>
      </c>
    </row>
    <row r="7" spans="1:2" x14ac:dyDescent="0.25">
      <c r="A7" s="14" t="s">
        <v>12</v>
      </c>
      <c r="B7" s="7">
        <v>0</v>
      </c>
    </row>
    <row r="8" spans="1:2" x14ac:dyDescent="0.25">
      <c r="A8" s="14" t="s">
        <v>13</v>
      </c>
      <c r="B8" s="7">
        <v>0</v>
      </c>
    </row>
    <row r="9" spans="1:2" x14ac:dyDescent="0.25">
      <c r="A9" s="14" t="s">
        <v>3</v>
      </c>
      <c r="B9" s="7">
        <v>3000</v>
      </c>
    </row>
    <row r="10" spans="1:2" x14ac:dyDescent="0.25">
      <c r="A10" s="14" t="s">
        <v>14</v>
      </c>
      <c r="B10" s="7">
        <v>20000</v>
      </c>
    </row>
    <row r="11" spans="1:2" x14ac:dyDescent="0.25">
      <c r="A11" s="24" t="s">
        <v>15</v>
      </c>
      <c r="B11" s="7">
        <v>0</v>
      </c>
    </row>
    <row r="12" spans="1:2" x14ac:dyDescent="0.25">
      <c r="A12" s="14" t="s">
        <v>6</v>
      </c>
      <c r="B12" s="7">
        <v>800000</v>
      </c>
    </row>
    <row r="13" spans="1:2" x14ac:dyDescent="0.25">
      <c r="A13" s="14" t="s">
        <v>4</v>
      </c>
      <c r="B13" s="7">
        <v>400000</v>
      </c>
    </row>
    <row r="14" spans="1:2" x14ac:dyDescent="0.25">
      <c r="A14" s="14" t="s">
        <v>16</v>
      </c>
      <c r="B14" s="7">
        <v>0</v>
      </c>
    </row>
    <row r="15" spans="1:2" x14ac:dyDescent="0.25">
      <c r="A15" s="14" t="s">
        <v>5</v>
      </c>
      <c r="B15" s="7">
        <v>1000</v>
      </c>
    </row>
    <row r="16" spans="1:2" x14ac:dyDescent="0.25">
      <c r="A16" s="14" t="s">
        <v>7</v>
      </c>
      <c r="B16" s="7">
        <v>1000</v>
      </c>
    </row>
    <row r="17" spans="1:2" x14ac:dyDescent="0.25">
      <c r="A17" s="25" t="s">
        <v>8</v>
      </c>
      <c r="B17" s="9">
        <v>2344000</v>
      </c>
    </row>
    <row r="18" spans="1:2" x14ac:dyDescent="0.25">
      <c r="A18" s="14" t="s">
        <v>18</v>
      </c>
      <c r="B18" s="7">
        <v>1000</v>
      </c>
    </row>
    <row r="19" spans="1:2" x14ac:dyDescent="0.25">
      <c r="A19" s="14" t="s">
        <v>19</v>
      </c>
      <c r="B19" s="7">
        <v>1000</v>
      </c>
    </row>
    <row r="20" spans="1:2" x14ac:dyDescent="0.25">
      <c r="A20" s="14" t="s">
        <v>21</v>
      </c>
      <c r="B20" s="7">
        <v>0</v>
      </c>
    </row>
    <row r="21" spans="1:2" x14ac:dyDescent="0.25">
      <c r="A21" s="14" t="s">
        <v>9</v>
      </c>
      <c r="B21" s="7">
        <v>100000</v>
      </c>
    </row>
    <row r="22" spans="1:2" ht="15.75" thickBot="1" x14ac:dyDescent="0.3">
      <c r="A22" s="14"/>
      <c r="B22" s="7"/>
    </row>
    <row r="23" spans="1:2" ht="15.75" thickBot="1" x14ac:dyDescent="0.3">
      <c r="A23" s="15" t="s">
        <v>23</v>
      </c>
      <c r="B23" s="5">
        <f>SUM(B4)</f>
        <v>3696000</v>
      </c>
    </row>
    <row r="24" spans="1:2" ht="15.75" thickBot="1" x14ac:dyDescent="0.3">
      <c r="A24" s="16" t="s">
        <v>24</v>
      </c>
      <c r="B24" s="17"/>
    </row>
    <row r="25" spans="1:2" ht="15.75" thickBot="1" x14ac:dyDescent="0.3">
      <c r="A25" s="18" t="s">
        <v>25</v>
      </c>
      <c r="B25" s="19">
        <v>0</v>
      </c>
    </row>
    <row r="26" spans="1:2" ht="15.75" thickBot="1" x14ac:dyDescent="0.3">
      <c r="A26" s="18" t="s">
        <v>26</v>
      </c>
      <c r="B26" s="19">
        <f>B23-B25</f>
        <v>3696000</v>
      </c>
    </row>
    <row r="27" spans="1:2" ht="15.75" thickBot="1" x14ac:dyDescent="0.3">
      <c r="A27" s="18" t="s">
        <v>27</v>
      </c>
      <c r="B27" s="19">
        <v>0</v>
      </c>
    </row>
    <row r="28" spans="1:2" ht="15.75" thickBot="1" x14ac:dyDescent="0.3">
      <c r="A28" s="18" t="s">
        <v>31</v>
      </c>
      <c r="B28" s="19">
        <v>0</v>
      </c>
    </row>
    <row r="29" spans="1:2" ht="15.75" thickBot="1" x14ac:dyDescent="0.3">
      <c r="A29" s="20" t="s">
        <v>28</v>
      </c>
      <c r="B29" s="21">
        <f>SUM(B25:B28)</f>
        <v>3696000</v>
      </c>
    </row>
    <row r="30" spans="1:2" ht="15.75" thickBot="1" x14ac:dyDescent="0.3">
      <c r="A30" s="22" t="s">
        <v>29</v>
      </c>
      <c r="B30" s="23">
        <f>B29-B23</f>
        <v>0</v>
      </c>
    </row>
    <row r="31" spans="1:2" ht="15.75" thickTop="1" x14ac:dyDescent="0.25"/>
  </sheetData>
  <mergeCells count="2">
    <mergeCell ref="A1:A3"/>
    <mergeCell ref="B1:B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AC556-56B1-4DDF-B748-783C1C1E3637}">
  <sheetPr>
    <tabColor rgb="FFFFC000"/>
  </sheetPr>
  <dimension ref="A1:C28"/>
  <sheetViews>
    <sheetView topLeftCell="A10" zoomScaleNormal="100" workbookViewId="0">
      <selection activeCell="B18" sqref="B18"/>
    </sheetView>
  </sheetViews>
  <sheetFormatPr defaultColWidth="8.85546875" defaultRowHeight="15" x14ac:dyDescent="0.25"/>
  <cols>
    <col min="1" max="1" width="37.28515625" bestFit="1" customWidth="1"/>
    <col min="2" max="2" width="16.28515625" customWidth="1"/>
    <col min="3" max="3" width="15.140625" customWidth="1"/>
  </cols>
  <sheetData>
    <row r="1" spans="1:3" ht="18" customHeight="1" thickTop="1" x14ac:dyDescent="0.25">
      <c r="A1" s="206" t="s">
        <v>0</v>
      </c>
      <c r="B1" s="209" t="s">
        <v>1</v>
      </c>
    </row>
    <row r="2" spans="1:3" ht="15" customHeight="1" x14ac:dyDescent="0.25">
      <c r="A2" s="207"/>
      <c r="B2" s="210"/>
    </row>
    <row r="3" spans="1:3" ht="15.75" thickBot="1" x14ac:dyDescent="0.3">
      <c r="A3" s="208"/>
      <c r="B3" s="211"/>
    </row>
    <row r="4" spans="1:3" ht="24.75" thickBot="1" x14ac:dyDescent="0.3">
      <c r="A4" s="3" t="s">
        <v>32</v>
      </c>
      <c r="B4" s="4">
        <f>SUM(B5:B19)</f>
        <v>8950000</v>
      </c>
      <c r="C4" s="26"/>
    </row>
    <row r="5" spans="1:3" x14ac:dyDescent="0.25">
      <c r="A5" s="27" t="s">
        <v>30</v>
      </c>
      <c r="B5" s="28">
        <v>900000</v>
      </c>
      <c r="C5" s="30"/>
    </row>
    <row r="6" spans="1:3" x14ac:dyDescent="0.25">
      <c r="A6" s="6" t="s">
        <v>11</v>
      </c>
      <c r="B6" s="29">
        <v>400000</v>
      </c>
      <c r="C6" s="30"/>
    </row>
    <row r="7" spans="1:3" x14ac:dyDescent="0.25">
      <c r="A7" s="6" t="s">
        <v>13</v>
      </c>
      <c r="B7" s="29">
        <v>230000</v>
      </c>
      <c r="C7" s="30"/>
    </row>
    <row r="8" spans="1:3" x14ac:dyDescent="0.25">
      <c r="A8" s="14" t="s">
        <v>3</v>
      </c>
      <c r="B8" s="29">
        <v>20000</v>
      </c>
      <c r="C8" s="30"/>
    </row>
    <row r="9" spans="1:3" x14ac:dyDescent="0.25">
      <c r="A9" s="6" t="s">
        <v>14</v>
      </c>
      <c r="B9" s="29">
        <v>1000</v>
      </c>
      <c r="C9" s="30"/>
    </row>
    <row r="10" spans="1:3" x14ac:dyDescent="0.25">
      <c r="A10" s="6" t="s">
        <v>15</v>
      </c>
      <c r="B10" s="29">
        <v>3050000</v>
      </c>
      <c r="C10" s="30"/>
    </row>
    <row r="11" spans="1:3" x14ac:dyDescent="0.25">
      <c r="A11" s="6" t="s">
        <v>6</v>
      </c>
      <c r="B11" s="29">
        <v>50000</v>
      </c>
      <c r="C11" s="30"/>
    </row>
    <row r="12" spans="1:3" x14ac:dyDescent="0.25">
      <c r="A12" s="6" t="s">
        <v>4</v>
      </c>
      <c r="B12" s="29">
        <v>100000</v>
      </c>
      <c r="C12" s="30"/>
    </row>
    <row r="13" spans="1:3" x14ac:dyDescent="0.25">
      <c r="A13" s="6" t="s">
        <v>16</v>
      </c>
      <c r="B13" s="29">
        <v>0</v>
      </c>
      <c r="C13" s="30"/>
    </row>
    <row r="14" spans="1:3" x14ac:dyDescent="0.25">
      <c r="A14" s="6" t="s">
        <v>5</v>
      </c>
      <c r="B14" s="29">
        <v>1000</v>
      </c>
      <c r="C14" s="30"/>
    </row>
    <row r="15" spans="1:3" x14ac:dyDescent="0.25">
      <c r="A15" s="6" t="s">
        <v>7</v>
      </c>
      <c r="B15" s="29">
        <v>20000</v>
      </c>
      <c r="C15" s="30"/>
    </row>
    <row r="16" spans="1:3" x14ac:dyDescent="0.25">
      <c r="A16" s="8" t="s">
        <v>8</v>
      </c>
      <c r="B16" s="31">
        <v>4023000</v>
      </c>
      <c r="C16" s="30"/>
    </row>
    <row r="17" spans="1:3" x14ac:dyDescent="0.25">
      <c r="A17" s="6" t="s">
        <v>18</v>
      </c>
      <c r="B17" s="29">
        <v>100000</v>
      </c>
      <c r="C17" s="30"/>
    </row>
    <row r="18" spans="1:3" x14ac:dyDescent="0.25">
      <c r="A18" s="6" t="s">
        <v>19</v>
      </c>
      <c r="B18" s="29">
        <v>5000</v>
      </c>
      <c r="C18" s="30"/>
    </row>
    <row r="19" spans="1:3" x14ac:dyDescent="0.25">
      <c r="A19" s="6" t="s">
        <v>9</v>
      </c>
      <c r="B19" s="29">
        <v>50000</v>
      </c>
      <c r="C19" s="32"/>
    </row>
    <row r="20" spans="1:3" ht="15.75" thickBot="1" x14ac:dyDescent="0.3">
      <c r="A20" s="10"/>
      <c r="B20" s="33"/>
    </row>
    <row r="21" spans="1:3" ht="15.75" thickBot="1" x14ac:dyDescent="0.3">
      <c r="A21" s="15" t="s">
        <v>23</v>
      </c>
      <c r="B21" s="5">
        <f>B4</f>
        <v>8950000</v>
      </c>
    </row>
    <row r="22" spans="1:3" ht="15.75" thickBot="1" x14ac:dyDescent="0.3">
      <c r="A22" s="34" t="s">
        <v>33</v>
      </c>
      <c r="B22" s="35">
        <v>2000000</v>
      </c>
    </row>
    <row r="23" spans="1:3" ht="15.75" thickBot="1" x14ac:dyDescent="0.3">
      <c r="A23" s="16" t="s">
        <v>24</v>
      </c>
      <c r="B23" s="17"/>
    </row>
    <row r="24" spans="1:3" ht="15.75" thickBot="1" x14ac:dyDescent="0.3">
      <c r="A24" s="18" t="s">
        <v>26</v>
      </c>
      <c r="B24" s="19">
        <f>B21-B25</f>
        <v>8130000</v>
      </c>
    </row>
    <row r="25" spans="1:3" ht="15.75" thickBot="1" x14ac:dyDescent="0.3">
      <c r="A25" s="18" t="s">
        <v>34</v>
      </c>
      <c r="B25" s="19">
        <v>820000</v>
      </c>
    </row>
    <row r="26" spans="1:3" ht="15.75" thickBot="1" x14ac:dyDescent="0.3">
      <c r="A26" s="20" t="s">
        <v>28</v>
      </c>
      <c r="B26" s="21">
        <f>SUM(B24:B25)</f>
        <v>8950000</v>
      </c>
    </row>
    <row r="27" spans="1:3" ht="15.75" thickBot="1" x14ac:dyDescent="0.3">
      <c r="A27" s="22" t="s">
        <v>29</v>
      </c>
      <c r="B27" s="23">
        <f>B26-B21</f>
        <v>0</v>
      </c>
    </row>
    <row r="28" spans="1:3" ht="16.5" thickTop="1" thickBot="1" x14ac:dyDescent="0.3">
      <c r="A28" s="36" t="s">
        <v>35</v>
      </c>
      <c r="B28" s="37">
        <v>2000000</v>
      </c>
    </row>
  </sheetData>
  <mergeCells count="2">
    <mergeCell ref="A1:A3"/>
    <mergeCell ref="B1:B3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FEE5C-A26F-43D9-AC4F-6239865CC590}">
  <sheetPr>
    <tabColor theme="9" tint="0.79998168889431442"/>
  </sheetPr>
  <dimension ref="A1:D37"/>
  <sheetViews>
    <sheetView topLeftCell="A19" zoomScaleNormal="100" workbookViewId="0">
      <selection activeCell="B18" sqref="B18"/>
    </sheetView>
  </sheetViews>
  <sheetFormatPr defaultColWidth="10.85546875" defaultRowHeight="15" x14ac:dyDescent="0.25"/>
  <cols>
    <col min="1" max="1" width="39.7109375" customWidth="1"/>
    <col min="2" max="2" width="20.42578125" customWidth="1"/>
    <col min="3" max="3" width="15" bestFit="1" customWidth="1"/>
    <col min="4" max="4" width="14" bestFit="1" customWidth="1"/>
  </cols>
  <sheetData>
    <row r="1" spans="1:3" ht="33.75" customHeight="1" thickTop="1" thickBot="1" x14ac:dyDescent="0.3">
      <c r="A1" s="1" t="s">
        <v>0</v>
      </c>
      <c r="B1" s="2" t="s">
        <v>36</v>
      </c>
    </row>
    <row r="2" spans="1:3" ht="15.75" thickBot="1" x14ac:dyDescent="0.3">
      <c r="A2" s="3" t="s">
        <v>37</v>
      </c>
      <c r="B2" s="4">
        <f>SUM(B3:B23)</f>
        <v>22606000</v>
      </c>
    </row>
    <row r="3" spans="1:3" x14ac:dyDescent="0.25">
      <c r="A3" s="6" t="s">
        <v>30</v>
      </c>
      <c r="B3" s="7">
        <v>30000</v>
      </c>
    </row>
    <row r="4" spans="1:3" x14ac:dyDescent="0.25">
      <c r="A4" s="6" t="s">
        <v>38</v>
      </c>
      <c r="B4" s="7">
        <v>0</v>
      </c>
    </row>
    <row r="5" spans="1:3" x14ac:dyDescent="0.25">
      <c r="A5" s="6" t="s">
        <v>11</v>
      </c>
      <c r="B5" s="7">
        <v>100000</v>
      </c>
    </row>
    <row r="6" spans="1:3" x14ac:dyDescent="0.25">
      <c r="A6" s="6" t="s">
        <v>39</v>
      </c>
      <c r="B6" s="7">
        <v>0</v>
      </c>
    </row>
    <row r="7" spans="1:3" x14ac:dyDescent="0.25">
      <c r="A7" s="6" t="s">
        <v>13</v>
      </c>
      <c r="B7" s="7">
        <v>35000</v>
      </c>
    </row>
    <row r="8" spans="1:3" x14ac:dyDescent="0.25">
      <c r="A8" s="6" t="s">
        <v>3</v>
      </c>
      <c r="B8" s="7">
        <v>0</v>
      </c>
    </row>
    <row r="9" spans="1:3" x14ac:dyDescent="0.25">
      <c r="A9" s="6" t="s">
        <v>14</v>
      </c>
      <c r="B9" s="7">
        <v>400000</v>
      </c>
    </row>
    <row r="10" spans="1:3" x14ac:dyDescent="0.25">
      <c r="A10" s="6" t="s">
        <v>15</v>
      </c>
      <c r="B10" s="7">
        <v>400000</v>
      </c>
    </row>
    <row r="11" spans="1:3" x14ac:dyDescent="0.25">
      <c r="A11" s="6" t="s">
        <v>6</v>
      </c>
      <c r="B11" s="7">
        <v>300000</v>
      </c>
      <c r="C11" s="38"/>
    </row>
    <row r="12" spans="1:3" x14ac:dyDescent="0.25">
      <c r="A12" s="6" t="s">
        <v>4</v>
      </c>
      <c r="B12" s="7">
        <v>1000000</v>
      </c>
      <c r="C12" s="38"/>
    </row>
    <row r="13" spans="1:3" x14ac:dyDescent="0.25">
      <c r="A13" s="6" t="s">
        <v>16</v>
      </c>
      <c r="B13" s="7">
        <v>0</v>
      </c>
      <c r="C13" s="38"/>
    </row>
    <row r="14" spans="1:3" x14ac:dyDescent="0.25">
      <c r="A14" s="6" t="s">
        <v>17</v>
      </c>
      <c r="B14" s="7">
        <v>0</v>
      </c>
      <c r="C14" s="38"/>
    </row>
    <row r="15" spans="1:3" x14ac:dyDescent="0.25">
      <c r="A15" s="6" t="s">
        <v>5</v>
      </c>
      <c r="B15" s="7">
        <v>0</v>
      </c>
    </row>
    <row r="16" spans="1:3" x14ac:dyDescent="0.25">
      <c r="A16" s="6" t="s">
        <v>7</v>
      </c>
      <c r="B16" s="7">
        <v>25000</v>
      </c>
    </row>
    <row r="17" spans="1:4" x14ac:dyDescent="0.25">
      <c r="A17" s="8" t="s">
        <v>8</v>
      </c>
      <c r="B17" s="9">
        <v>11000000</v>
      </c>
    </row>
    <row r="18" spans="1:4" x14ac:dyDescent="0.25">
      <c r="A18" s="6" t="s">
        <v>18</v>
      </c>
      <c r="B18" s="7">
        <v>5000</v>
      </c>
    </row>
    <row r="19" spans="1:4" x14ac:dyDescent="0.25">
      <c r="A19" s="6" t="s">
        <v>19</v>
      </c>
      <c r="B19" s="7">
        <v>251000</v>
      </c>
    </row>
    <row r="20" spans="1:4" x14ac:dyDescent="0.25">
      <c r="A20" s="6" t="s">
        <v>40</v>
      </c>
      <c r="B20" s="7">
        <v>9000000</v>
      </c>
    </row>
    <row r="21" spans="1:4" x14ac:dyDescent="0.25">
      <c r="A21" s="6" t="s">
        <v>41</v>
      </c>
      <c r="B21" s="7">
        <v>20000</v>
      </c>
    </row>
    <row r="22" spans="1:4" x14ac:dyDescent="0.25">
      <c r="A22" s="6" t="s">
        <v>20</v>
      </c>
      <c r="B22" s="7">
        <v>40000</v>
      </c>
    </row>
    <row r="23" spans="1:4" ht="15.75" thickBot="1" x14ac:dyDescent="0.3">
      <c r="A23" s="6" t="s">
        <v>9</v>
      </c>
      <c r="B23" s="7">
        <v>0</v>
      </c>
    </row>
    <row r="24" spans="1:4" ht="15.75" thickBot="1" x14ac:dyDescent="0.3">
      <c r="A24" s="39" t="s">
        <v>42</v>
      </c>
      <c r="B24" s="40">
        <f>Konsolidovaný!O3</f>
        <v>17696881.569999993</v>
      </c>
    </row>
    <row r="25" spans="1:4" ht="15.75" thickBot="1" x14ac:dyDescent="0.3">
      <c r="A25" s="41"/>
      <c r="B25" s="42"/>
    </row>
    <row r="26" spans="1:4" ht="15.75" thickBot="1" x14ac:dyDescent="0.3">
      <c r="A26" s="15" t="s">
        <v>43</v>
      </c>
      <c r="B26" s="5">
        <f>SUM(B2)</f>
        <v>22606000</v>
      </c>
    </row>
    <row r="27" spans="1:4" ht="15.75" thickBot="1" x14ac:dyDescent="0.3">
      <c r="A27" s="16" t="s">
        <v>24</v>
      </c>
      <c r="B27" s="17"/>
    </row>
    <row r="28" spans="1:4" ht="15.75" thickBot="1" x14ac:dyDescent="0.3">
      <c r="A28" s="18" t="s">
        <v>26</v>
      </c>
      <c r="B28" s="19">
        <f>B26-B29-B31</f>
        <v>11606000</v>
      </c>
      <c r="D28" s="12"/>
    </row>
    <row r="29" spans="1:4" ht="15.75" thickBot="1" x14ac:dyDescent="0.3">
      <c r="A29" s="18" t="s">
        <v>27</v>
      </c>
      <c r="B29" s="19">
        <v>9000000</v>
      </c>
    </row>
    <row r="30" spans="1:4" ht="15.75" thickBot="1" x14ac:dyDescent="0.3">
      <c r="A30" s="43" t="s">
        <v>44</v>
      </c>
      <c r="B30" s="44">
        <f>B24</f>
        <v>17696881.569999993</v>
      </c>
    </row>
    <row r="31" spans="1:4" ht="15.75" thickBot="1" x14ac:dyDescent="0.3">
      <c r="A31" s="18" t="s">
        <v>45</v>
      </c>
      <c r="B31" s="19">
        <v>2000000</v>
      </c>
    </row>
    <row r="32" spans="1:4" ht="15.75" thickBot="1" x14ac:dyDescent="0.3">
      <c r="A32" s="18" t="s">
        <v>31</v>
      </c>
      <c r="B32" s="19">
        <v>0</v>
      </c>
    </row>
    <row r="33" spans="1:2" ht="15.75" thickBot="1" x14ac:dyDescent="0.3">
      <c r="A33" s="18" t="s">
        <v>46</v>
      </c>
      <c r="B33" s="19">
        <v>0</v>
      </c>
    </row>
    <row r="34" spans="1:2" ht="15.75" thickBot="1" x14ac:dyDescent="0.3">
      <c r="A34" s="18" t="s">
        <v>47</v>
      </c>
      <c r="B34" s="44">
        <v>0</v>
      </c>
    </row>
    <row r="35" spans="1:2" ht="15.75" thickBot="1" x14ac:dyDescent="0.3">
      <c r="A35" s="20" t="s">
        <v>28</v>
      </c>
      <c r="B35" s="21">
        <f>SUM(B28:B34)</f>
        <v>40302881.569999993</v>
      </c>
    </row>
    <row r="36" spans="1:2" ht="15.75" thickBot="1" x14ac:dyDescent="0.3">
      <c r="A36" s="22" t="s">
        <v>29</v>
      </c>
      <c r="B36" s="23">
        <f>B35-B24-B26</f>
        <v>0</v>
      </c>
    </row>
    <row r="37" spans="1:2" ht="15.75" thickTop="1" x14ac:dyDescent="0.25"/>
  </sheetData>
  <pageMargins left="0.7" right="0.7" top="0.78740157499999996" bottom="0.78740157499999996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523E8-2E2A-461B-AF07-DD12BB59FBFE}">
  <sheetPr>
    <tabColor rgb="FFFFC000"/>
  </sheetPr>
  <dimension ref="A1:B25"/>
  <sheetViews>
    <sheetView topLeftCell="A6" zoomScaleNormal="100" workbookViewId="0">
      <selection activeCell="D18" sqref="D18"/>
    </sheetView>
  </sheetViews>
  <sheetFormatPr defaultColWidth="10.85546875" defaultRowHeight="15" x14ac:dyDescent="0.25"/>
  <cols>
    <col min="1" max="1" width="39.7109375" customWidth="1"/>
    <col min="2" max="2" width="20.42578125" customWidth="1"/>
  </cols>
  <sheetData>
    <row r="1" spans="1:2" ht="16.5" thickTop="1" thickBot="1" x14ac:dyDescent="0.3">
      <c r="A1" s="1" t="s">
        <v>0</v>
      </c>
      <c r="B1" s="2" t="s">
        <v>36</v>
      </c>
    </row>
    <row r="2" spans="1:2" ht="24.75" thickBot="1" x14ac:dyDescent="0.3">
      <c r="A2" s="3" t="s">
        <v>48</v>
      </c>
      <c r="B2" s="4">
        <f>SUM(B3:B12)</f>
        <v>9204442.0600000005</v>
      </c>
    </row>
    <row r="3" spans="1:2" x14ac:dyDescent="0.25">
      <c r="A3" s="6" t="s">
        <v>11</v>
      </c>
      <c r="B3" s="7">
        <v>40000</v>
      </c>
    </row>
    <row r="4" spans="1:2" x14ac:dyDescent="0.25">
      <c r="A4" s="6" t="s">
        <v>3</v>
      </c>
      <c r="B4" s="7">
        <v>153000</v>
      </c>
    </row>
    <row r="5" spans="1:2" x14ac:dyDescent="0.25">
      <c r="A5" s="6" t="s">
        <v>14</v>
      </c>
      <c r="B5" s="7">
        <v>0</v>
      </c>
    </row>
    <row r="6" spans="1:2" x14ac:dyDescent="0.25">
      <c r="A6" s="6" t="s">
        <v>15</v>
      </c>
      <c r="B6" s="7">
        <v>10000</v>
      </c>
    </row>
    <row r="7" spans="1:2" x14ac:dyDescent="0.25">
      <c r="A7" s="6" t="s">
        <v>6</v>
      </c>
      <c r="B7" s="7">
        <v>1000442.06</v>
      </c>
    </row>
    <row r="8" spans="1:2" x14ac:dyDescent="0.25">
      <c r="A8" s="6" t="s">
        <v>4</v>
      </c>
      <c r="B8" s="7">
        <v>2000000</v>
      </c>
    </row>
    <row r="9" spans="1:2" x14ac:dyDescent="0.25">
      <c r="A9" s="8" t="s">
        <v>8</v>
      </c>
      <c r="B9" s="9">
        <v>3000000</v>
      </c>
    </row>
    <row r="10" spans="1:2" x14ac:dyDescent="0.25">
      <c r="A10" s="6" t="s">
        <v>19</v>
      </c>
      <c r="B10" s="7">
        <v>1000</v>
      </c>
    </row>
    <row r="11" spans="1:2" x14ac:dyDescent="0.25">
      <c r="A11" s="6" t="s">
        <v>40</v>
      </c>
      <c r="B11" s="7">
        <v>1000000</v>
      </c>
    </row>
    <row r="12" spans="1:2" x14ac:dyDescent="0.25">
      <c r="A12" s="6" t="s">
        <v>9</v>
      </c>
      <c r="B12" s="7">
        <v>2000000</v>
      </c>
    </row>
    <row r="13" spans="1:2" ht="15.75" thickBot="1" x14ac:dyDescent="0.3">
      <c r="A13" s="6"/>
      <c r="B13" s="45"/>
    </row>
    <row r="14" spans="1:2" ht="15.75" thickBot="1" x14ac:dyDescent="0.3">
      <c r="A14" s="15" t="s">
        <v>49</v>
      </c>
      <c r="B14" s="5">
        <f>SUM(B2)</f>
        <v>9204442.0600000005</v>
      </c>
    </row>
    <row r="15" spans="1:2" ht="15.75" thickBot="1" x14ac:dyDescent="0.3">
      <c r="A15" s="16" t="s">
        <v>24</v>
      </c>
      <c r="B15" s="17"/>
    </row>
    <row r="16" spans="1:2" ht="15.75" thickBot="1" x14ac:dyDescent="0.3">
      <c r="A16" s="18" t="s">
        <v>50</v>
      </c>
      <c r="B16" s="19">
        <v>1209600</v>
      </c>
    </row>
    <row r="17" spans="1:2" ht="15.75" thickBot="1" x14ac:dyDescent="0.3">
      <c r="A17" s="18" t="s">
        <v>51</v>
      </c>
      <c r="B17" s="19">
        <v>0</v>
      </c>
    </row>
    <row r="18" spans="1:2" ht="15.75" thickBot="1" x14ac:dyDescent="0.3">
      <c r="A18" s="18" t="s">
        <v>52</v>
      </c>
      <c r="B18" s="19">
        <v>2695000</v>
      </c>
    </row>
    <row r="19" spans="1:2" ht="15.75" thickBot="1" x14ac:dyDescent="0.3">
      <c r="A19" s="18" t="s">
        <v>31</v>
      </c>
      <c r="B19" s="46">
        <v>500000</v>
      </c>
    </row>
    <row r="20" spans="1:2" ht="15.75" thickBot="1" x14ac:dyDescent="0.3">
      <c r="A20" s="18" t="s">
        <v>53</v>
      </c>
      <c r="B20" s="46">
        <v>2000000</v>
      </c>
    </row>
    <row r="21" spans="1:2" ht="15.75" thickBot="1" x14ac:dyDescent="0.3">
      <c r="A21" s="18" t="s">
        <v>54</v>
      </c>
      <c r="B21" s="46">
        <v>0</v>
      </c>
    </row>
    <row r="22" spans="1:2" ht="15.75" thickBot="1" x14ac:dyDescent="0.3">
      <c r="A22" s="18" t="s">
        <v>26</v>
      </c>
      <c r="B22" s="46">
        <f>1500000+1299842.06</f>
        <v>2799842.06</v>
      </c>
    </row>
    <row r="23" spans="1:2" ht="15.75" thickBot="1" x14ac:dyDescent="0.3">
      <c r="A23" s="20" t="s">
        <v>28</v>
      </c>
      <c r="B23" s="21">
        <f>SUM(B16:B22)</f>
        <v>9204442.0600000005</v>
      </c>
    </row>
    <row r="24" spans="1:2" ht="15.75" thickBot="1" x14ac:dyDescent="0.3">
      <c r="A24" s="22" t="s">
        <v>29</v>
      </c>
      <c r="B24" s="23">
        <f>B23-B14</f>
        <v>0</v>
      </c>
    </row>
    <row r="25" spans="1:2" ht="15.75" thickTop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B3BDC-C05F-4839-AF9F-63994A713C2B}">
  <sheetPr>
    <tabColor rgb="FFFFC000"/>
    <pageSetUpPr fitToPage="1"/>
  </sheetPr>
  <dimension ref="A1:B109"/>
  <sheetViews>
    <sheetView topLeftCell="A88" zoomScaleNormal="100" workbookViewId="0">
      <selection activeCell="K100" sqref="K100"/>
    </sheetView>
  </sheetViews>
  <sheetFormatPr defaultColWidth="8.85546875" defaultRowHeight="15" x14ac:dyDescent="0.25"/>
  <cols>
    <col min="1" max="1" width="35.7109375" bestFit="1" customWidth="1"/>
    <col min="2" max="2" width="17.28515625" customWidth="1"/>
  </cols>
  <sheetData>
    <row r="1" spans="1:2" ht="33.75" customHeight="1" thickTop="1" thickBot="1" x14ac:dyDescent="0.3">
      <c r="A1" s="47" t="s">
        <v>55</v>
      </c>
      <c r="B1" s="48" t="s">
        <v>56</v>
      </c>
    </row>
    <row r="2" spans="1:2" ht="15.75" thickBot="1" x14ac:dyDescent="0.3">
      <c r="A2" s="49" t="s">
        <v>57</v>
      </c>
      <c r="B2" s="50">
        <f>SUM(B3:B18)</f>
        <v>1768700</v>
      </c>
    </row>
    <row r="3" spans="1:2" x14ac:dyDescent="0.25">
      <c r="A3" s="6" t="s">
        <v>11</v>
      </c>
      <c r="B3" s="7">
        <v>10000</v>
      </c>
    </row>
    <row r="4" spans="1:2" x14ac:dyDescent="0.25">
      <c r="A4" s="6" t="s">
        <v>12</v>
      </c>
      <c r="B4" s="7">
        <v>0</v>
      </c>
    </row>
    <row r="5" spans="1:2" x14ac:dyDescent="0.25">
      <c r="A5" s="6" t="s">
        <v>14</v>
      </c>
      <c r="B5" s="7">
        <v>10000</v>
      </c>
    </row>
    <row r="6" spans="1:2" x14ac:dyDescent="0.25">
      <c r="A6" s="6" t="s">
        <v>15</v>
      </c>
      <c r="B6" s="7">
        <v>5000</v>
      </c>
    </row>
    <row r="7" spans="1:2" x14ac:dyDescent="0.25">
      <c r="A7" s="6" t="s">
        <v>6</v>
      </c>
      <c r="B7" s="7">
        <v>0</v>
      </c>
    </row>
    <row r="8" spans="1:2" x14ac:dyDescent="0.25">
      <c r="A8" s="6" t="s">
        <v>4</v>
      </c>
      <c r="B8" s="7">
        <v>10000</v>
      </c>
    </row>
    <row r="9" spans="1:2" x14ac:dyDescent="0.25">
      <c r="A9" s="6" t="s">
        <v>16</v>
      </c>
      <c r="B9" s="7">
        <v>0</v>
      </c>
    </row>
    <row r="10" spans="1:2" x14ac:dyDescent="0.25">
      <c r="A10" s="6" t="s">
        <v>17</v>
      </c>
      <c r="B10" s="7">
        <v>0</v>
      </c>
    </row>
    <row r="11" spans="1:2" x14ac:dyDescent="0.25">
      <c r="A11" s="6" t="s">
        <v>7</v>
      </c>
      <c r="B11" s="7">
        <v>1000</v>
      </c>
    </row>
    <row r="12" spans="1:2" x14ac:dyDescent="0.25">
      <c r="A12" s="8" t="s">
        <v>8</v>
      </c>
      <c r="B12" s="9">
        <v>600000</v>
      </c>
    </row>
    <row r="13" spans="1:2" x14ac:dyDescent="0.25">
      <c r="A13" s="6" t="s">
        <v>18</v>
      </c>
      <c r="B13" s="7">
        <v>1500</v>
      </c>
    </row>
    <row r="14" spans="1:2" x14ac:dyDescent="0.25">
      <c r="A14" s="6" t="s">
        <v>58</v>
      </c>
      <c r="B14" s="7">
        <v>1500</v>
      </c>
    </row>
    <row r="15" spans="1:2" x14ac:dyDescent="0.25">
      <c r="A15" s="6" t="s">
        <v>19</v>
      </c>
      <c r="B15" s="7">
        <v>350000</v>
      </c>
    </row>
    <row r="16" spans="1:2" x14ac:dyDescent="0.25">
      <c r="A16" s="6" t="s">
        <v>59</v>
      </c>
      <c r="B16" s="7">
        <f>ÚPS!B125+ÚTT!B131+ÚZO!B123</f>
        <v>650000</v>
      </c>
    </row>
    <row r="17" spans="1:2" x14ac:dyDescent="0.25">
      <c r="A17" s="6" t="s">
        <v>20</v>
      </c>
      <c r="B17" s="7">
        <v>60000</v>
      </c>
    </row>
    <row r="18" spans="1:2" x14ac:dyDescent="0.25">
      <c r="A18" s="6" t="s">
        <v>9</v>
      </c>
      <c r="B18" s="7">
        <v>69700</v>
      </c>
    </row>
    <row r="19" spans="1:2" ht="15.75" thickBot="1" x14ac:dyDescent="0.3">
      <c r="A19" s="6"/>
      <c r="B19" s="7"/>
    </row>
    <row r="20" spans="1:2" ht="15.75" thickBot="1" x14ac:dyDescent="0.3">
      <c r="A20" s="49" t="s">
        <v>60</v>
      </c>
      <c r="B20" s="50">
        <f>SUM(B21:B36)</f>
        <v>1410000</v>
      </c>
    </row>
    <row r="21" spans="1:2" x14ac:dyDescent="0.25">
      <c r="A21" s="6" t="s">
        <v>11</v>
      </c>
      <c r="B21" s="7">
        <v>10000</v>
      </c>
    </row>
    <row r="22" spans="1:2" x14ac:dyDescent="0.25">
      <c r="A22" s="6" t="s">
        <v>12</v>
      </c>
      <c r="B22" s="7">
        <v>50000</v>
      </c>
    </row>
    <row r="23" spans="1:2" x14ac:dyDescent="0.25">
      <c r="A23" s="6" t="s">
        <v>39</v>
      </c>
      <c r="B23" s="7">
        <v>0</v>
      </c>
    </row>
    <row r="24" spans="1:2" x14ac:dyDescent="0.25">
      <c r="A24" s="6" t="s">
        <v>13</v>
      </c>
      <c r="B24" s="7">
        <v>0</v>
      </c>
    </row>
    <row r="25" spans="1:2" x14ac:dyDescent="0.25">
      <c r="A25" s="6" t="s">
        <v>61</v>
      </c>
      <c r="B25" s="7">
        <v>5000</v>
      </c>
    </row>
    <row r="26" spans="1:2" x14ac:dyDescent="0.25">
      <c r="A26" s="6" t="s">
        <v>14</v>
      </c>
      <c r="B26" s="7">
        <v>10000</v>
      </c>
    </row>
    <row r="27" spans="1:2" x14ac:dyDescent="0.25">
      <c r="A27" s="6" t="s">
        <v>4</v>
      </c>
      <c r="B27" s="7">
        <v>10000</v>
      </c>
    </row>
    <row r="28" spans="1:2" x14ac:dyDescent="0.25">
      <c r="A28" s="6" t="s">
        <v>16</v>
      </c>
      <c r="B28" s="7">
        <v>1000</v>
      </c>
    </row>
    <row r="29" spans="1:2" x14ac:dyDescent="0.25">
      <c r="A29" s="6" t="s">
        <v>7</v>
      </c>
      <c r="B29" s="7">
        <v>500</v>
      </c>
    </row>
    <row r="30" spans="1:2" x14ac:dyDescent="0.25">
      <c r="A30" s="6" t="s">
        <v>17</v>
      </c>
      <c r="B30" s="7">
        <v>3000</v>
      </c>
    </row>
    <row r="31" spans="1:2" x14ac:dyDescent="0.25">
      <c r="A31" s="6" t="s">
        <v>5</v>
      </c>
      <c r="B31" s="7">
        <v>2000</v>
      </c>
    </row>
    <row r="32" spans="1:2" x14ac:dyDescent="0.25">
      <c r="A32" s="8" t="s">
        <v>8</v>
      </c>
      <c r="B32" s="9">
        <v>1300000</v>
      </c>
    </row>
    <row r="33" spans="1:2" x14ac:dyDescent="0.25">
      <c r="A33" s="6" t="s">
        <v>18</v>
      </c>
      <c r="B33" s="7">
        <v>2000</v>
      </c>
    </row>
    <row r="34" spans="1:2" x14ac:dyDescent="0.25">
      <c r="A34" s="6" t="s">
        <v>19</v>
      </c>
      <c r="B34" s="7">
        <v>1000</v>
      </c>
    </row>
    <row r="35" spans="1:2" x14ac:dyDescent="0.25">
      <c r="A35" s="6" t="s">
        <v>21</v>
      </c>
      <c r="B35" s="7">
        <v>0</v>
      </c>
    </row>
    <row r="36" spans="1:2" x14ac:dyDescent="0.25">
      <c r="A36" s="6" t="s">
        <v>9</v>
      </c>
      <c r="B36" s="7">
        <v>15500</v>
      </c>
    </row>
    <row r="37" spans="1:2" ht="15.75" thickBot="1" x14ac:dyDescent="0.3">
      <c r="A37" s="51"/>
      <c r="B37" s="11"/>
    </row>
    <row r="38" spans="1:2" ht="15.75" thickBot="1" x14ac:dyDescent="0.3">
      <c r="A38" s="49" t="s">
        <v>62</v>
      </c>
      <c r="B38" s="50">
        <f>SUM(B39:B54)</f>
        <v>8886600</v>
      </c>
    </row>
    <row r="39" spans="1:2" x14ac:dyDescent="0.25">
      <c r="A39" s="6" t="s">
        <v>11</v>
      </c>
      <c r="B39" s="7">
        <v>150000</v>
      </c>
    </row>
    <row r="40" spans="1:2" x14ac:dyDescent="0.25">
      <c r="A40" s="6" t="s">
        <v>30</v>
      </c>
      <c r="B40" s="7">
        <v>50000</v>
      </c>
    </row>
    <row r="41" spans="1:2" x14ac:dyDescent="0.25">
      <c r="A41" s="6" t="s">
        <v>3</v>
      </c>
      <c r="B41" s="7">
        <v>5000</v>
      </c>
    </row>
    <row r="42" spans="1:2" x14ac:dyDescent="0.25">
      <c r="A42" s="6" t="s">
        <v>14</v>
      </c>
      <c r="B42" s="7">
        <v>40000</v>
      </c>
    </row>
    <row r="43" spans="1:2" x14ac:dyDescent="0.25">
      <c r="A43" s="6" t="s">
        <v>15</v>
      </c>
      <c r="B43" s="7">
        <v>20000</v>
      </c>
    </row>
    <row r="44" spans="1:2" x14ac:dyDescent="0.25">
      <c r="A44" s="6" t="s">
        <v>4</v>
      </c>
      <c r="B44" s="7">
        <v>120000</v>
      </c>
    </row>
    <row r="45" spans="1:2" x14ac:dyDescent="0.25">
      <c r="A45" s="6" t="s">
        <v>16</v>
      </c>
      <c r="B45" s="7">
        <v>5000</v>
      </c>
    </row>
    <row r="46" spans="1:2" x14ac:dyDescent="0.25">
      <c r="A46" s="6" t="s">
        <v>17</v>
      </c>
      <c r="B46" s="7">
        <v>2000</v>
      </c>
    </row>
    <row r="47" spans="1:2" x14ac:dyDescent="0.25">
      <c r="A47" s="6" t="s">
        <v>5</v>
      </c>
      <c r="B47" s="7">
        <v>50000</v>
      </c>
    </row>
    <row r="48" spans="1:2" x14ac:dyDescent="0.25">
      <c r="A48" s="6" t="s">
        <v>7</v>
      </c>
      <c r="B48" s="7">
        <v>1000</v>
      </c>
    </row>
    <row r="49" spans="1:2" x14ac:dyDescent="0.25">
      <c r="A49" s="8" t="s">
        <v>8</v>
      </c>
      <c r="B49" s="9">
        <v>3500000</v>
      </c>
    </row>
    <row r="50" spans="1:2" x14ac:dyDescent="0.25">
      <c r="A50" s="6" t="s">
        <v>19</v>
      </c>
      <c r="B50" s="7">
        <v>72000</v>
      </c>
    </row>
    <row r="51" spans="1:2" x14ac:dyDescent="0.25">
      <c r="A51" s="6" t="s">
        <v>40</v>
      </c>
      <c r="B51" s="7">
        <v>4756600</v>
      </c>
    </row>
    <row r="52" spans="1:2" x14ac:dyDescent="0.25">
      <c r="A52" s="6" t="s">
        <v>18</v>
      </c>
      <c r="B52" s="7">
        <v>5000</v>
      </c>
    </row>
    <row r="53" spans="1:2" x14ac:dyDescent="0.25">
      <c r="A53" s="6" t="s">
        <v>20</v>
      </c>
      <c r="B53" s="7">
        <v>10000</v>
      </c>
    </row>
    <row r="54" spans="1:2" x14ac:dyDescent="0.25">
      <c r="A54" s="6" t="s">
        <v>9</v>
      </c>
      <c r="B54" s="7">
        <v>100000</v>
      </c>
    </row>
    <row r="55" spans="1:2" ht="15.75" thickBot="1" x14ac:dyDescent="0.3">
      <c r="A55" s="6"/>
      <c r="B55" s="7"/>
    </row>
    <row r="56" spans="1:2" ht="15.75" thickBot="1" x14ac:dyDescent="0.3">
      <c r="A56" s="3" t="s">
        <v>63</v>
      </c>
      <c r="B56" s="4">
        <f>SUM(B57:B71)</f>
        <v>2395000</v>
      </c>
    </row>
    <row r="57" spans="1:2" x14ac:dyDescent="0.25">
      <c r="A57" s="27" t="s">
        <v>30</v>
      </c>
      <c r="B57" s="7">
        <v>320000</v>
      </c>
    </row>
    <row r="58" spans="1:2" x14ac:dyDescent="0.25">
      <c r="A58" s="6" t="s">
        <v>11</v>
      </c>
      <c r="B58" s="7">
        <v>130000</v>
      </c>
    </row>
    <row r="59" spans="1:2" x14ac:dyDescent="0.25">
      <c r="A59" s="6" t="s">
        <v>39</v>
      </c>
      <c r="B59" s="7">
        <v>5000</v>
      </c>
    </row>
    <row r="60" spans="1:2" x14ac:dyDescent="0.25">
      <c r="A60" s="6" t="s">
        <v>13</v>
      </c>
      <c r="B60" s="7">
        <v>72000</v>
      </c>
    </row>
    <row r="61" spans="1:2" x14ac:dyDescent="0.25">
      <c r="A61" s="6" t="s">
        <v>3</v>
      </c>
      <c r="B61" s="7">
        <v>15000</v>
      </c>
    </row>
    <row r="62" spans="1:2" x14ac:dyDescent="0.25">
      <c r="A62" s="6" t="s">
        <v>64</v>
      </c>
      <c r="B62" s="7">
        <v>150000</v>
      </c>
    </row>
    <row r="63" spans="1:2" x14ac:dyDescent="0.25">
      <c r="A63" s="6" t="s">
        <v>15</v>
      </c>
      <c r="B63" s="7">
        <v>2000</v>
      </c>
    </row>
    <row r="64" spans="1:2" x14ac:dyDescent="0.25">
      <c r="A64" s="6" t="s">
        <v>4</v>
      </c>
      <c r="B64" s="7">
        <v>485500</v>
      </c>
    </row>
    <row r="65" spans="1:2" x14ac:dyDescent="0.25">
      <c r="A65" s="6" t="s">
        <v>16</v>
      </c>
      <c r="B65" s="7">
        <v>45000</v>
      </c>
    </row>
    <row r="66" spans="1:2" x14ac:dyDescent="0.25">
      <c r="A66" s="6" t="s">
        <v>7</v>
      </c>
      <c r="B66" s="7">
        <v>500</v>
      </c>
    </row>
    <row r="67" spans="1:2" x14ac:dyDescent="0.25">
      <c r="A67" s="8" t="s">
        <v>8</v>
      </c>
      <c r="B67" s="9">
        <v>370000</v>
      </c>
    </row>
    <row r="68" spans="1:2" x14ac:dyDescent="0.25">
      <c r="A68" s="6" t="s">
        <v>18</v>
      </c>
      <c r="B68" s="7">
        <v>50000</v>
      </c>
    </row>
    <row r="69" spans="1:2" x14ac:dyDescent="0.25">
      <c r="A69" s="6" t="s">
        <v>19</v>
      </c>
      <c r="B69" s="7">
        <v>600000</v>
      </c>
    </row>
    <row r="70" spans="1:2" x14ac:dyDescent="0.25">
      <c r="A70" s="6" t="s">
        <v>21</v>
      </c>
      <c r="B70" s="7">
        <v>50000</v>
      </c>
    </row>
    <row r="71" spans="1:2" x14ac:dyDescent="0.25">
      <c r="A71" s="6" t="s">
        <v>9</v>
      </c>
      <c r="B71" s="7">
        <v>100000</v>
      </c>
    </row>
    <row r="72" spans="1:2" ht="15.75" thickBot="1" x14ac:dyDescent="0.3">
      <c r="A72" s="6"/>
      <c r="B72" s="7"/>
    </row>
    <row r="73" spans="1:2" ht="15.75" thickBot="1" x14ac:dyDescent="0.3">
      <c r="A73" s="49" t="s">
        <v>65</v>
      </c>
      <c r="B73" s="50">
        <f>SUM(B74:B75)</f>
        <v>34958891</v>
      </c>
    </row>
    <row r="74" spans="1:2" x14ac:dyDescent="0.25">
      <c r="A74" s="6" t="s">
        <v>8</v>
      </c>
      <c r="B74" s="7">
        <v>0</v>
      </c>
    </row>
    <row r="75" spans="1:2" x14ac:dyDescent="0.25">
      <c r="A75" s="6" t="s">
        <v>9</v>
      </c>
      <c r="B75" s="7">
        <f>ÚPS!B123+ÚPS!B124+ÚTT!B129+ÚTT!B130+ÚZO!B126+ÚZO!B127</f>
        <v>34958891</v>
      </c>
    </row>
    <row r="76" spans="1:2" ht="15.75" thickBot="1" x14ac:dyDescent="0.3">
      <c r="A76" s="6"/>
      <c r="B76" s="7"/>
    </row>
    <row r="77" spans="1:2" ht="15.75" thickBot="1" x14ac:dyDescent="0.3">
      <c r="A77" s="49" t="s">
        <v>66</v>
      </c>
      <c r="B77" s="50">
        <f>SUM(B78:B89)</f>
        <v>133446940</v>
      </c>
    </row>
    <row r="78" spans="1:2" x14ac:dyDescent="0.25">
      <c r="A78" s="6" t="s">
        <v>67</v>
      </c>
      <c r="B78" s="7">
        <f>21060671.94+600000</f>
        <v>21660671.940000001</v>
      </c>
    </row>
    <row r="79" spans="1:2" x14ac:dyDescent="0.25">
      <c r="A79" s="6" t="s">
        <v>68</v>
      </c>
      <c r="B79" s="7">
        <f>VPEMPV!B22</f>
        <v>2799842.06</v>
      </c>
    </row>
    <row r="80" spans="1:2" x14ac:dyDescent="0.25">
      <c r="A80" s="6" t="s">
        <v>69</v>
      </c>
      <c r="B80" s="7">
        <f>IT!B24</f>
        <v>8130000</v>
      </c>
    </row>
    <row r="81" spans="1:2" x14ac:dyDescent="0.25">
      <c r="A81" s="6" t="s">
        <v>70</v>
      </c>
      <c r="B81" s="7">
        <f>Rektor!B59</f>
        <v>6670620</v>
      </c>
    </row>
    <row r="82" spans="1:2" x14ac:dyDescent="0.25">
      <c r="A82" s="6" t="s">
        <v>71</v>
      </c>
      <c r="B82" s="7">
        <f>ÚVV!B85</f>
        <v>5567040</v>
      </c>
    </row>
    <row r="83" spans="1:2" x14ac:dyDescent="0.25">
      <c r="A83" s="6" t="s">
        <v>72</v>
      </c>
      <c r="B83" s="7">
        <f>ÚVV!B86</f>
        <v>5300000</v>
      </c>
    </row>
    <row r="84" spans="1:2" x14ac:dyDescent="0.25">
      <c r="A84" s="6" t="s">
        <v>73</v>
      </c>
      <c r="B84" s="7">
        <f>'TČ a Strategie'!B73</f>
        <v>29527250</v>
      </c>
    </row>
    <row r="85" spans="1:2" x14ac:dyDescent="0.25">
      <c r="A85" s="6" t="s">
        <v>74</v>
      </c>
      <c r="B85" s="7">
        <f>Kvestor!B176</f>
        <v>29524038</v>
      </c>
    </row>
    <row r="86" spans="1:2" x14ac:dyDescent="0.25">
      <c r="A86" s="6" t="s">
        <v>75</v>
      </c>
      <c r="B86" s="7">
        <f>'Prorektor - statutární zástupce'!B42</f>
        <v>10931978</v>
      </c>
    </row>
    <row r="87" spans="1:2" x14ac:dyDescent="0.25">
      <c r="A87" s="6" t="s">
        <v>76</v>
      </c>
      <c r="B87" s="7">
        <v>600000</v>
      </c>
    </row>
    <row r="88" spans="1:2" x14ac:dyDescent="0.25">
      <c r="A88" s="6" t="s">
        <v>77</v>
      </c>
      <c r="B88" s="7">
        <f>EÚ!B35</f>
        <v>8031000</v>
      </c>
    </row>
    <row r="89" spans="1:2" ht="15.75" thickBot="1" x14ac:dyDescent="0.3">
      <c r="A89" s="6" t="s">
        <v>78</v>
      </c>
      <c r="B89" s="7">
        <f>COP!B25</f>
        <v>4704500</v>
      </c>
    </row>
    <row r="90" spans="1:2" ht="15.75" thickBot="1" x14ac:dyDescent="0.3">
      <c r="A90" s="15" t="s">
        <v>49</v>
      </c>
      <c r="B90" s="5">
        <f>B77+B73+B56+B38+B20+B2</f>
        <v>182866131</v>
      </c>
    </row>
    <row r="91" spans="1:2" ht="15.75" thickBot="1" x14ac:dyDescent="0.3">
      <c r="A91" s="52" t="s">
        <v>24</v>
      </c>
      <c r="B91" s="53"/>
    </row>
    <row r="92" spans="1:2" ht="15.75" thickBot="1" x14ac:dyDescent="0.3">
      <c r="A92" s="18" t="s">
        <v>79</v>
      </c>
      <c r="B92" s="19">
        <v>172836331</v>
      </c>
    </row>
    <row r="93" spans="1:2" ht="15.75" thickBot="1" x14ac:dyDescent="0.3">
      <c r="A93" s="18" t="s">
        <v>80</v>
      </c>
      <c r="B93" s="19">
        <v>0</v>
      </c>
    </row>
    <row r="94" spans="1:2" ht="15.75" thickBot="1" x14ac:dyDescent="0.3">
      <c r="A94" s="18" t="s">
        <v>81</v>
      </c>
      <c r="B94" s="19">
        <v>535000</v>
      </c>
    </row>
    <row r="95" spans="1:2" ht="15" customHeight="1" thickBot="1" x14ac:dyDescent="0.3">
      <c r="A95" s="18" t="s">
        <v>82</v>
      </c>
      <c r="B95" s="19">
        <v>3500000</v>
      </c>
    </row>
    <row r="96" spans="1:2" ht="15" customHeight="1" thickBot="1" x14ac:dyDescent="0.3">
      <c r="A96" s="18" t="s">
        <v>83</v>
      </c>
      <c r="B96" s="19">
        <v>500000</v>
      </c>
    </row>
    <row r="97" spans="1:2" ht="15" customHeight="1" thickBot="1" x14ac:dyDescent="0.3">
      <c r="A97" s="18" t="s">
        <v>31</v>
      </c>
      <c r="B97" s="19">
        <v>0</v>
      </c>
    </row>
    <row r="98" spans="1:2" ht="15" customHeight="1" thickBot="1" x14ac:dyDescent="0.3">
      <c r="A98" s="18" t="s">
        <v>84</v>
      </c>
      <c r="B98" s="19">
        <v>0</v>
      </c>
    </row>
    <row r="99" spans="1:2" ht="15" customHeight="1" thickBot="1" x14ac:dyDescent="0.3">
      <c r="A99" s="18" t="s">
        <v>85</v>
      </c>
      <c r="B99" s="19">
        <v>331200</v>
      </c>
    </row>
    <row r="100" spans="1:2" ht="15" customHeight="1" thickBot="1" x14ac:dyDescent="0.3">
      <c r="A100" s="18" t="s">
        <v>86</v>
      </c>
      <c r="B100" s="19">
        <v>407000</v>
      </c>
    </row>
    <row r="101" spans="1:2" ht="15.75" thickBot="1" x14ac:dyDescent="0.3">
      <c r="A101" s="18" t="s">
        <v>50</v>
      </c>
      <c r="B101" s="19">
        <v>4756600</v>
      </c>
    </row>
    <row r="102" spans="1:2" ht="15.75" thickBot="1" x14ac:dyDescent="0.3">
      <c r="A102" s="16" t="s">
        <v>28</v>
      </c>
      <c r="B102" s="54">
        <f>SUM(B92:B101)</f>
        <v>182866131</v>
      </c>
    </row>
    <row r="103" spans="1:2" ht="15.75" thickBot="1" x14ac:dyDescent="0.3">
      <c r="A103" s="22" t="s">
        <v>29</v>
      </c>
      <c r="B103" s="23">
        <f>B102-B90</f>
        <v>0</v>
      </c>
    </row>
    <row r="104" spans="1:2" ht="16.5" hidden="1" customHeight="1" thickBot="1" x14ac:dyDescent="0.3"/>
    <row r="105" spans="1:2" ht="16.5" hidden="1" customHeight="1" thickTop="1" x14ac:dyDescent="0.25"/>
    <row r="106" spans="1:2" ht="15.75" thickTop="1" x14ac:dyDescent="0.25">
      <c r="B106" s="12"/>
    </row>
    <row r="107" spans="1:2" x14ac:dyDescent="0.25">
      <c r="B107" s="12"/>
    </row>
    <row r="109" spans="1:2" x14ac:dyDescent="0.25">
      <c r="B109" s="12"/>
    </row>
  </sheetData>
  <pageMargins left="0.7" right="0.7" top="0.78740157499999996" bottom="0.78740157499999996" header="0.3" footer="0.3"/>
  <pageSetup paperSize="9" scale="10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B41D7-CB5D-475A-8EE3-D9E75D0D02DF}">
  <sheetPr>
    <tabColor rgb="FFFFC000"/>
    <pageSetUpPr fitToPage="1"/>
  </sheetPr>
  <dimension ref="A1:D77"/>
  <sheetViews>
    <sheetView topLeftCell="A60" zoomScaleNormal="100" workbookViewId="0">
      <selection activeCell="D71" sqref="D71"/>
    </sheetView>
  </sheetViews>
  <sheetFormatPr defaultColWidth="12.42578125" defaultRowHeight="15" x14ac:dyDescent="0.25"/>
  <cols>
    <col min="1" max="1" width="35.42578125" bestFit="1" customWidth="1"/>
    <col min="2" max="2" width="17.140625" customWidth="1"/>
    <col min="3" max="3" width="17" bestFit="1" customWidth="1"/>
    <col min="4" max="4" width="15.85546875" bestFit="1" customWidth="1"/>
  </cols>
  <sheetData>
    <row r="1" spans="1:3" s="57" customFormat="1" ht="17.25" thickTop="1" thickBot="1" x14ac:dyDescent="0.3">
      <c r="A1" s="55" t="s">
        <v>55</v>
      </c>
      <c r="B1" s="56" t="s">
        <v>56</v>
      </c>
    </row>
    <row r="2" spans="1:3" s="57" customFormat="1" ht="16.5" thickBot="1" x14ac:dyDescent="0.3">
      <c r="A2" s="58" t="s">
        <v>87</v>
      </c>
      <c r="B2" s="59">
        <f>SUM(B3:B19)</f>
        <v>1477000</v>
      </c>
      <c r="C2" s="60"/>
    </row>
    <row r="3" spans="1:3" s="57" customFormat="1" ht="15.75" x14ac:dyDescent="0.25">
      <c r="A3" s="6" t="s">
        <v>30</v>
      </c>
      <c r="B3" s="7">
        <v>0</v>
      </c>
      <c r="C3" s="60"/>
    </row>
    <row r="4" spans="1:3" s="57" customFormat="1" ht="15.75" x14ac:dyDescent="0.25">
      <c r="A4" s="6" t="s">
        <v>11</v>
      </c>
      <c r="B4" s="7">
        <v>3000</v>
      </c>
      <c r="C4" s="60"/>
    </row>
    <row r="5" spans="1:3" s="57" customFormat="1" ht="15.75" x14ac:dyDescent="0.25">
      <c r="A5" s="6" t="s">
        <v>3</v>
      </c>
      <c r="B5" s="7">
        <v>5000</v>
      </c>
      <c r="C5" s="60"/>
    </row>
    <row r="6" spans="1:3" s="57" customFormat="1" ht="15.75" x14ac:dyDescent="0.25">
      <c r="A6" s="6" t="s">
        <v>12</v>
      </c>
      <c r="B6" s="7">
        <v>1000</v>
      </c>
      <c r="C6" s="60"/>
    </row>
    <row r="7" spans="1:3" s="57" customFormat="1" ht="15.75" x14ac:dyDescent="0.25">
      <c r="A7" s="6" t="s">
        <v>13</v>
      </c>
      <c r="B7" s="7">
        <v>1000</v>
      </c>
      <c r="C7" s="60"/>
    </row>
    <row r="8" spans="1:3" s="57" customFormat="1" ht="15.75" x14ac:dyDescent="0.25">
      <c r="A8" s="6" t="s">
        <v>14</v>
      </c>
      <c r="B8" s="7">
        <v>5000</v>
      </c>
      <c r="C8" s="60"/>
    </row>
    <row r="9" spans="1:3" s="57" customFormat="1" ht="15.75" x14ac:dyDescent="0.25">
      <c r="A9" s="6" t="s">
        <v>15</v>
      </c>
      <c r="B9" s="7">
        <v>0</v>
      </c>
      <c r="C9" s="60"/>
    </row>
    <row r="10" spans="1:3" s="57" customFormat="1" ht="15.75" x14ac:dyDescent="0.25">
      <c r="A10" s="6" t="s">
        <v>4</v>
      </c>
      <c r="B10" s="7">
        <v>5000</v>
      </c>
      <c r="C10" s="60"/>
    </row>
    <row r="11" spans="1:3" s="57" customFormat="1" ht="15.75" x14ac:dyDescent="0.25">
      <c r="A11" s="6" t="s">
        <v>17</v>
      </c>
      <c r="B11" s="7">
        <v>1000</v>
      </c>
      <c r="C11" s="60"/>
    </row>
    <row r="12" spans="1:3" s="57" customFormat="1" ht="15.75" x14ac:dyDescent="0.25">
      <c r="A12" s="6" t="s">
        <v>5</v>
      </c>
      <c r="B12" s="7">
        <v>25000</v>
      </c>
      <c r="C12" s="61"/>
    </row>
    <row r="13" spans="1:3" s="57" customFormat="1" ht="15.75" x14ac:dyDescent="0.25">
      <c r="A13" s="6" t="s">
        <v>7</v>
      </c>
      <c r="B13" s="7">
        <v>500</v>
      </c>
      <c r="C13" s="60"/>
    </row>
    <row r="14" spans="1:3" s="57" customFormat="1" ht="15.75" x14ac:dyDescent="0.25">
      <c r="A14" s="8" t="s">
        <v>8</v>
      </c>
      <c r="B14" s="9">
        <v>1385000</v>
      </c>
      <c r="C14" s="60"/>
    </row>
    <row r="15" spans="1:3" s="57" customFormat="1" ht="15.75" x14ac:dyDescent="0.25">
      <c r="A15" s="6" t="s">
        <v>18</v>
      </c>
      <c r="B15" s="7">
        <v>5500</v>
      </c>
      <c r="C15" s="60"/>
    </row>
    <row r="16" spans="1:3" s="57" customFormat="1" ht="15.75" x14ac:dyDescent="0.25">
      <c r="A16" s="6" t="s">
        <v>19</v>
      </c>
      <c r="B16" s="7">
        <v>0</v>
      </c>
      <c r="C16" s="60"/>
    </row>
    <row r="17" spans="1:4" s="57" customFormat="1" ht="15.75" x14ac:dyDescent="0.25">
      <c r="A17" s="6" t="s">
        <v>41</v>
      </c>
      <c r="B17" s="7">
        <v>25000</v>
      </c>
      <c r="C17" s="60"/>
    </row>
    <row r="18" spans="1:4" s="57" customFormat="1" ht="15.75" x14ac:dyDescent="0.25">
      <c r="A18" s="6" t="s">
        <v>21</v>
      </c>
      <c r="B18" s="7">
        <v>0</v>
      </c>
      <c r="C18" s="60"/>
    </row>
    <row r="19" spans="1:4" s="57" customFormat="1" ht="15.75" x14ac:dyDescent="0.25">
      <c r="A19" s="6" t="s">
        <v>9</v>
      </c>
      <c r="B19" s="7">
        <v>15000</v>
      </c>
      <c r="C19" s="60"/>
    </row>
    <row r="20" spans="1:4" s="57" customFormat="1" ht="16.5" thickBot="1" x14ac:dyDescent="0.3">
      <c r="A20" s="6"/>
      <c r="B20" s="7"/>
    </row>
    <row r="21" spans="1:4" s="57" customFormat="1" ht="16.5" thickBot="1" x14ac:dyDescent="0.3">
      <c r="A21" s="58" t="s">
        <v>88</v>
      </c>
      <c r="B21" s="59">
        <f>SUM(B22:B26)</f>
        <v>33885763</v>
      </c>
    </row>
    <row r="22" spans="1:4" s="57" customFormat="1" ht="15.75" x14ac:dyDescent="0.25">
      <c r="A22" s="6" t="s">
        <v>89</v>
      </c>
      <c r="B22" s="7">
        <f>ÚTT!B120</f>
        <v>14000000</v>
      </c>
      <c r="C22" s="62"/>
      <c r="D22" s="62"/>
    </row>
    <row r="23" spans="1:4" s="57" customFormat="1" ht="15.75" x14ac:dyDescent="0.25">
      <c r="A23" s="6" t="s">
        <v>90</v>
      </c>
      <c r="B23" s="7">
        <f>ÚZO!B115</f>
        <v>8000000</v>
      </c>
      <c r="C23" s="62"/>
      <c r="D23" s="62"/>
    </row>
    <row r="24" spans="1:4" s="57" customFormat="1" ht="15.75" x14ac:dyDescent="0.25">
      <c r="A24" s="6" t="s">
        <v>91</v>
      </c>
      <c r="B24" s="7">
        <f>ÚPS!B126</f>
        <v>8000000</v>
      </c>
      <c r="C24" s="62"/>
      <c r="D24" s="62"/>
    </row>
    <row r="25" spans="1:4" s="57" customFormat="1" ht="15.75" x14ac:dyDescent="0.25">
      <c r="A25" s="6" t="s">
        <v>92</v>
      </c>
      <c r="B25" s="7">
        <f>VPEMPV!B20</f>
        <v>2000000</v>
      </c>
    </row>
    <row r="26" spans="1:4" s="57" customFormat="1" ht="15.75" x14ac:dyDescent="0.25">
      <c r="A26" s="6" t="s">
        <v>93</v>
      </c>
      <c r="B26" s="7">
        <f>B71+B68</f>
        <v>1885762.9999999995</v>
      </c>
    </row>
    <row r="27" spans="1:4" s="57" customFormat="1" ht="15.75" x14ac:dyDescent="0.25">
      <c r="A27" s="6" t="s">
        <v>9</v>
      </c>
      <c r="B27" s="7">
        <v>0</v>
      </c>
      <c r="C27" s="60"/>
    </row>
    <row r="28" spans="1:4" s="57" customFormat="1" ht="16.5" thickBot="1" x14ac:dyDescent="0.3">
      <c r="A28" s="6"/>
      <c r="B28" s="7"/>
    </row>
    <row r="29" spans="1:4" s="57" customFormat="1" ht="16.5" thickBot="1" x14ac:dyDescent="0.3">
      <c r="A29" s="58" t="s">
        <v>94</v>
      </c>
      <c r="B29" s="59">
        <f>SUM(B30:B30)</f>
        <v>5686950</v>
      </c>
    </row>
    <row r="30" spans="1:4" s="57" customFormat="1" ht="15.75" x14ac:dyDescent="0.25">
      <c r="A30" s="8" t="s">
        <v>8</v>
      </c>
      <c r="B30" s="9">
        <v>5686950</v>
      </c>
    </row>
    <row r="31" spans="1:4" s="57" customFormat="1" ht="16.5" thickBot="1" x14ac:dyDescent="0.3">
      <c r="A31" s="51"/>
      <c r="B31" s="11"/>
    </row>
    <row r="32" spans="1:4" s="57" customFormat="1" ht="16.5" thickBot="1" x14ac:dyDescent="0.3">
      <c r="A32" s="58" t="s">
        <v>95</v>
      </c>
      <c r="B32" s="59">
        <f>SUM(B33:B42)</f>
        <v>1294489</v>
      </c>
      <c r="C32" s="60"/>
    </row>
    <row r="33" spans="1:4" s="57" customFormat="1" ht="15.75" x14ac:dyDescent="0.25">
      <c r="A33" s="6" t="s">
        <v>30</v>
      </c>
      <c r="B33" s="7">
        <v>400000</v>
      </c>
      <c r="C33" s="60"/>
    </row>
    <row r="34" spans="1:4" s="57" customFormat="1" ht="15.75" x14ac:dyDescent="0.25">
      <c r="A34" s="6" t="s">
        <v>11</v>
      </c>
      <c r="B34" s="7">
        <v>50000</v>
      </c>
      <c r="C34" s="60"/>
    </row>
    <row r="35" spans="1:4" s="57" customFormat="1" ht="15.75" x14ac:dyDescent="0.25">
      <c r="A35" s="6" t="s">
        <v>3</v>
      </c>
      <c r="B35" s="7">
        <v>50000</v>
      </c>
      <c r="C35" s="60"/>
    </row>
    <row r="36" spans="1:4" s="57" customFormat="1" ht="15.75" x14ac:dyDescent="0.25">
      <c r="A36" s="6" t="s">
        <v>15</v>
      </c>
      <c r="B36" s="7">
        <v>20000</v>
      </c>
      <c r="C36" s="60"/>
    </row>
    <row r="37" spans="1:4" s="57" customFormat="1" ht="15.75" x14ac:dyDescent="0.25">
      <c r="A37" s="6" t="s">
        <v>4</v>
      </c>
      <c r="B37" s="7">
        <v>220000</v>
      </c>
      <c r="C37" s="60"/>
    </row>
    <row r="38" spans="1:4" s="57" customFormat="1" ht="15.75" x14ac:dyDescent="0.25">
      <c r="A38" s="6" t="s">
        <v>16</v>
      </c>
      <c r="B38" s="7">
        <v>0</v>
      </c>
      <c r="C38" s="60"/>
    </row>
    <row r="39" spans="1:4" s="57" customFormat="1" ht="15.75" x14ac:dyDescent="0.25">
      <c r="A39" s="6" t="s">
        <v>5</v>
      </c>
      <c r="B39" s="7">
        <v>40000</v>
      </c>
      <c r="C39" s="60"/>
    </row>
    <row r="40" spans="1:4" s="57" customFormat="1" ht="15.75" x14ac:dyDescent="0.25">
      <c r="A40" s="8" t="s">
        <v>8</v>
      </c>
      <c r="B40" s="9">
        <v>114489</v>
      </c>
      <c r="C40" s="60"/>
    </row>
    <row r="41" spans="1:4" s="57" customFormat="1" ht="15.75" x14ac:dyDescent="0.25">
      <c r="A41" s="6" t="s">
        <v>19</v>
      </c>
      <c r="B41" s="7">
        <v>0</v>
      </c>
      <c r="C41" s="60"/>
    </row>
    <row r="42" spans="1:4" s="57" customFormat="1" ht="15.75" x14ac:dyDescent="0.25">
      <c r="A42" s="6" t="s">
        <v>40</v>
      </c>
      <c r="B42" s="7">
        <v>400000</v>
      </c>
      <c r="C42" s="60"/>
    </row>
    <row r="43" spans="1:4" s="57" customFormat="1" ht="16.5" thickBot="1" x14ac:dyDescent="0.3">
      <c r="A43" s="6"/>
      <c r="B43" s="7"/>
      <c r="C43" s="62"/>
    </row>
    <row r="44" spans="1:4" s="57" customFormat="1" ht="16.5" thickBot="1" x14ac:dyDescent="0.3">
      <c r="A44" s="63" t="s">
        <v>96</v>
      </c>
      <c r="B44" s="64">
        <f>SUM(B45:B63)</f>
        <v>49917390</v>
      </c>
      <c r="C44" s="60"/>
      <c r="D44" s="62"/>
    </row>
    <row r="45" spans="1:4" s="57" customFormat="1" ht="15.75" x14ac:dyDescent="0.25">
      <c r="A45" s="6" t="s">
        <v>30</v>
      </c>
      <c r="B45" s="65">
        <v>500000</v>
      </c>
      <c r="C45" s="60"/>
    </row>
    <row r="46" spans="1:4" s="57" customFormat="1" ht="15.75" x14ac:dyDescent="0.25">
      <c r="A46" s="6" t="s">
        <v>11</v>
      </c>
      <c r="B46" s="65">
        <v>3700000</v>
      </c>
      <c r="C46" s="60"/>
    </row>
    <row r="47" spans="1:4" s="57" customFormat="1" ht="15.75" x14ac:dyDescent="0.25">
      <c r="A47" s="6" t="s">
        <v>39</v>
      </c>
      <c r="B47" s="65">
        <v>0</v>
      </c>
      <c r="C47" s="60"/>
    </row>
    <row r="48" spans="1:4" s="57" customFormat="1" ht="15.75" x14ac:dyDescent="0.25">
      <c r="A48" s="6" t="s">
        <v>13</v>
      </c>
      <c r="B48" s="65">
        <v>1000000</v>
      </c>
      <c r="C48" s="60"/>
    </row>
    <row r="49" spans="1:4" s="57" customFormat="1" ht="15.75" x14ac:dyDescent="0.25">
      <c r="A49" s="6" t="s">
        <v>14</v>
      </c>
      <c r="B49" s="65">
        <v>10000</v>
      </c>
      <c r="C49" s="60"/>
    </row>
    <row r="50" spans="1:4" s="57" customFormat="1" ht="15.75" x14ac:dyDescent="0.25">
      <c r="A50" s="6" t="s">
        <v>15</v>
      </c>
      <c r="B50" s="65">
        <v>150000</v>
      </c>
      <c r="C50" s="60"/>
    </row>
    <row r="51" spans="1:4" s="57" customFormat="1" ht="15.75" x14ac:dyDescent="0.25">
      <c r="A51" s="6" t="s">
        <v>6</v>
      </c>
      <c r="B51" s="65">
        <v>300000</v>
      </c>
      <c r="C51" s="60"/>
    </row>
    <row r="52" spans="1:4" s="57" customFormat="1" ht="15.75" x14ac:dyDescent="0.25">
      <c r="A52" s="6" t="s">
        <v>4</v>
      </c>
      <c r="B52" s="65">
        <v>9061920</v>
      </c>
      <c r="C52" s="60"/>
      <c r="D52" s="66"/>
    </row>
    <row r="53" spans="1:4" s="57" customFormat="1" ht="15.75" x14ac:dyDescent="0.25">
      <c r="A53" s="6" t="s">
        <v>16</v>
      </c>
      <c r="B53" s="65">
        <v>1000</v>
      </c>
      <c r="C53" s="60"/>
    </row>
    <row r="54" spans="1:4" s="57" customFormat="1" ht="15.75" x14ac:dyDescent="0.25">
      <c r="A54" s="6" t="s">
        <v>3</v>
      </c>
      <c r="B54" s="65">
        <v>400000</v>
      </c>
      <c r="C54" s="60"/>
    </row>
    <row r="55" spans="1:4" s="57" customFormat="1" ht="15.75" x14ac:dyDescent="0.25">
      <c r="A55" s="6" t="s">
        <v>5</v>
      </c>
      <c r="B55" s="65">
        <v>150000</v>
      </c>
      <c r="C55" s="60"/>
    </row>
    <row r="56" spans="1:4" s="57" customFormat="1" ht="15.75" x14ac:dyDescent="0.25">
      <c r="A56" s="6" t="s">
        <v>7</v>
      </c>
      <c r="B56" s="65">
        <v>10000</v>
      </c>
      <c r="C56" s="60"/>
    </row>
    <row r="57" spans="1:4" s="57" customFormat="1" ht="15.75" x14ac:dyDescent="0.25">
      <c r="A57" s="8" t="s">
        <v>8</v>
      </c>
      <c r="B57" s="67">
        <v>30996470</v>
      </c>
      <c r="C57" s="60"/>
    </row>
    <row r="58" spans="1:4" s="57" customFormat="1" ht="15.75" x14ac:dyDescent="0.25">
      <c r="A58" s="6" t="s">
        <v>18</v>
      </c>
      <c r="B58" s="65">
        <v>30000</v>
      </c>
      <c r="C58" s="60"/>
    </row>
    <row r="59" spans="1:4" s="57" customFormat="1" ht="15.75" x14ac:dyDescent="0.25">
      <c r="A59" s="6" t="s">
        <v>19</v>
      </c>
      <c r="B59" s="65">
        <v>5000</v>
      </c>
      <c r="C59" s="60"/>
      <c r="D59" s="66"/>
    </row>
    <row r="60" spans="1:4" s="57" customFormat="1" ht="15.75" x14ac:dyDescent="0.25">
      <c r="A60" s="6" t="s">
        <v>41</v>
      </c>
      <c r="B60" s="65">
        <v>250000</v>
      </c>
      <c r="C60" s="60"/>
    </row>
    <row r="61" spans="1:4" s="57" customFormat="1" ht="15.75" x14ac:dyDescent="0.25">
      <c r="A61" s="6" t="s">
        <v>97</v>
      </c>
      <c r="B61" s="65">
        <v>400000</v>
      </c>
      <c r="C61" s="60"/>
    </row>
    <row r="62" spans="1:4" s="57" customFormat="1" ht="15.75" x14ac:dyDescent="0.25">
      <c r="A62" s="6" t="s">
        <v>9</v>
      </c>
      <c r="B62" s="65">
        <v>2453000</v>
      </c>
      <c r="C62" s="60"/>
    </row>
    <row r="63" spans="1:4" s="57" customFormat="1" ht="15.75" x14ac:dyDescent="0.25">
      <c r="A63" s="6" t="s">
        <v>98</v>
      </c>
      <c r="B63" s="65">
        <v>500000</v>
      </c>
      <c r="C63" s="60"/>
    </row>
    <row r="64" spans="1:4" s="57" customFormat="1" ht="16.5" thickBot="1" x14ac:dyDescent="0.3">
      <c r="A64" s="6"/>
      <c r="B64" s="7"/>
    </row>
    <row r="65" spans="1:4" s="57" customFormat="1" ht="16.5" thickBot="1" x14ac:dyDescent="0.3">
      <c r="A65" s="15" t="s">
        <v>49</v>
      </c>
      <c r="B65" s="5">
        <f>B2+B21+B29+B32+B44</f>
        <v>92261592</v>
      </c>
    </row>
    <row r="66" spans="1:4" s="57" customFormat="1" ht="16.5" thickBot="1" x14ac:dyDescent="0.3">
      <c r="A66" s="68" t="s">
        <v>24</v>
      </c>
      <c r="B66" s="69"/>
    </row>
    <row r="67" spans="1:4" s="57" customFormat="1" ht="16.5" thickBot="1" x14ac:dyDescent="0.3">
      <c r="A67" s="18" t="s">
        <v>99</v>
      </c>
      <c r="B67" s="46">
        <v>6981439</v>
      </c>
      <c r="C67" s="60"/>
      <c r="D67" s="62"/>
    </row>
    <row r="68" spans="1:4" s="57" customFormat="1" ht="16.5" thickBot="1" x14ac:dyDescent="0.3">
      <c r="A68" s="18" t="s">
        <v>53</v>
      </c>
      <c r="B68" s="46">
        <v>385762.99999999953</v>
      </c>
      <c r="C68" s="60"/>
      <c r="D68" s="62"/>
    </row>
    <row r="69" spans="1:4" s="57" customFormat="1" ht="16.5" thickBot="1" x14ac:dyDescent="0.3">
      <c r="A69" s="18" t="s">
        <v>47</v>
      </c>
      <c r="B69" s="46">
        <v>2000000</v>
      </c>
    </row>
    <row r="70" spans="1:4" s="57" customFormat="1" ht="16.5" thickBot="1" x14ac:dyDescent="0.3">
      <c r="A70" s="18" t="s">
        <v>46</v>
      </c>
      <c r="B70" s="46">
        <v>50367140</v>
      </c>
    </row>
    <row r="71" spans="1:4" s="57" customFormat="1" ht="16.5" thickBot="1" x14ac:dyDescent="0.3">
      <c r="A71" s="18" t="s">
        <v>53</v>
      </c>
      <c r="B71" s="46">
        <v>1500000</v>
      </c>
    </row>
    <row r="72" spans="1:4" s="57" customFormat="1" ht="16.5" thickBot="1" x14ac:dyDescent="0.3">
      <c r="A72" s="18" t="s">
        <v>84</v>
      </c>
      <c r="B72" s="46">
        <v>1500000</v>
      </c>
    </row>
    <row r="73" spans="1:4" s="57" customFormat="1" ht="16.5" thickBot="1" x14ac:dyDescent="0.3">
      <c r="A73" s="18" t="s">
        <v>26</v>
      </c>
      <c r="B73" s="46">
        <f>B65-SUM(B67:B72)</f>
        <v>29527250</v>
      </c>
    </row>
    <row r="74" spans="1:4" s="57" customFormat="1" ht="16.5" thickBot="1" x14ac:dyDescent="0.3">
      <c r="A74" s="16" t="s">
        <v>28</v>
      </c>
      <c r="B74" s="70">
        <f>SUM(B67:B73)</f>
        <v>92261592</v>
      </c>
    </row>
    <row r="75" spans="1:4" s="57" customFormat="1" ht="16.5" thickBot="1" x14ac:dyDescent="0.3">
      <c r="A75" s="71" t="s">
        <v>29</v>
      </c>
      <c r="B75" s="72">
        <f>B74-B65</f>
        <v>0</v>
      </c>
    </row>
    <row r="76" spans="1:4" s="57" customFormat="1" ht="15.75" hidden="1" x14ac:dyDescent="0.25">
      <c r="A76" s="73"/>
      <c r="B76" s="74"/>
    </row>
    <row r="77" spans="1:4" s="57" customFormat="1" ht="15.75" hidden="1" x14ac:dyDescent="0.25">
      <c r="A77" s="73"/>
      <c r="B77" s="74"/>
    </row>
  </sheetData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Střednědobý výhled</vt:lpstr>
      <vt:lpstr>Konsolidovaný</vt:lpstr>
      <vt:lpstr>Rektor</vt:lpstr>
      <vt:lpstr>Právní oddělení</vt:lpstr>
      <vt:lpstr>IT</vt:lpstr>
      <vt:lpstr>Mimořádné a rezerva</vt:lpstr>
      <vt:lpstr>VPEMPV</vt:lpstr>
      <vt:lpstr>ÚŘAS</vt:lpstr>
      <vt:lpstr>TČ a Strategie</vt:lpstr>
      <vt:lpstr>Prorektor - statutární zástupce</vt:lpstr>
      <vt:lpstr>ÚVV</vt:lpstr>
      <vt:lpstr>EÚ</vt:lpstr>
      <vt:lpstr>COP</vt:lpstr>
      <vt:lpstr>Kvestor</vt:lpstr>
      <vt:lpstr>ÚPS</vt:lpstr>
      <vt:lpstr>ÚTT</vt:lpstr>
      <vt:lpstr>ÚZO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Fraňková Hana</dc:creator>
  <cp:lastModifiedBy>Fraňková Hana</cp:lastModifiedBy>
  <cp:lastPrinted>2022-12-05T11:15:00Z</cp:lastPrinted>
  <dcterms:created xsi:type="dcterms:W3CDTF">2022-12-02T19:29:18Z</dcterms:created>
  <dcterms:modified xsi:type="dcterms:W3CDTF">2022-12-06T15:41:13Z</dcterms:modified>
</cp:coreProperties>
</file>