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8322\Desktop\Počítací EXCEL\"/>
    </mc:Choice>
  </mc:AlternateContent>
  <xr:revisionPtr revIDLastSave="0" documentId="13_ncr:1_{24F26023-143A-4CE0-9BED-07C6EFC7BF18}" xr6:coauthVersionLast="46" xr6:coauthVersionMax="47" xr10:uidLastSave="{00000000-0000-0000-0000-000000000000}"/>
  <bookViews>
    <workbookView xWindow="12480" yWindow="465" windowWidth="16320" windowHeight="15135" firstSheet="31" activeTab="34" xr2:uid="{2B6DFC04-F3C6-4967-88F9-AC76117C6B17}"/>
  </bookViews>
  <sheets>
    <sheet name="Rozvaha" sheetId="2" r:id="rId1"/>
    <sheet name="VZZ" sheetId="1" r:id="rId2"/>
    <sheet name="CashFlow" sheetId="15" r:id="rId3"/>
    <sheet name="Strategická analýza" sheetId="27" r:id="rId4"/>
    <sheet name="H+V analýza" sheetId="3" r:id="rId5"/>
    <sheet name="Poměrové ukazatele" sheetId="4" r:id="rId6"/>
    <sheet name="EBITDA" sheetId="6" r:id="rId7"/>
    <sheet name="Komplexní analýza" sheetId="5" r:id="rId8"/>
    <sheet name="Nutný-Nenutný" sheetId="13" r:id="rId9"/>
    <sheet name="Generátory" sheetId="11" r:id="rId10"/>
    <sheet name="Plán" sheetId="14" r:id="rId11"/>
    <sheet name="Pohledávky" sheetId="16" r:id="rId12"/>
    <sheet name="Dluhopisy" sheetId="21" r:id="rId13"/>
    <sheet name="Vnější potenciál" sheetId="24" r:id="rId14"/>
    <sheet name="CAPM" sheetId="17" r:id="rId15"/>
    <sheet name="Stavebnicová" sheetId="18" r:id="rId16"/>
    <sheet name="WACC" sheetId="19" r:id="rId17"/>
    <sheet name="DCF" sheetId="20" r:id="rId18"/>
    <sheet name="EVA" sheetId="22" r:id="rId19"/>
    <sheet name="KČV" sheetId="23" r:id="rId20"/>
    <sheet name="Účetní" sheetId="31" r:id="rId21"/>
    <sheet name="Majetkové" sheetId="33" r:id="rId22"/>
    <sheet name="Substanční" sheetId="29" r:id="rId23"/>
    <sheet name="Likvidační" sheetId="34" r:id="rId24"/>
    <sheet name="Kombinované" sheetId="30" r:id="rId25"/>
    <sheet name="Tržní kapitalizace" sheetId="38" r:id="rId26"/>
    <sheet name="Specifika" sheetId="36" r:id="rId27"/>
    <sheet name="Synergie" sheetId="35" r:id="rId28"/>
    <sheet name="Srovnatelné podniky" sheetId="39" r:id="rId29"/>
    <sheet name="Burza" sheetId="40" r:id="rId30"/>
    <sheet name="Srovnatelné transakce" sheetId="41" r:id="rId31"/>
    <sheet name="Multiplikátory" sheetId="42" r:id="rId32"/>
    <sheet name="P_E" sheetId="25" r:id="rId33"/>
    <sheet name="Výběr majetkové metody" sheetId="43" r:id="rId34"/>
    <sheet name="Souhrn" sheetId="26" r:id="rId35"/>
  </sheets>
  <externalReferences>
    <externalReference r:id="rId36"/>
  </externalReferences>
  <definedNames>
    <definedName name="výchozí_rok">'[1]7 Rozvaha'!$C$3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 l="1"/>
  <c r="F19" i="5"/>
  <c r="G19" i="5"/>
  <c r="H19" i="5"/>
  <c r="D19" i="5"/>
  <c r="E8" i="5"/>
  <c r="F8" i="5"/>
  <c r="G8" i="5"/>
  <c r="H8" i="5"/>
  <c r="D8" i="5"/>
  <c r="E18" i="5"/>
  <c r="G18" i="5"/>
  <c r="H18" i="5"/>
  <c r="D18" i="5"/>
  <c r="D114" i="4"/>
  <c r="E114" i="4"/>
  <c r="F114" i="4"/>
  <c r="G114" i="4"/>
  <c r="C51" i="4"/>
  <c r="D51" i="4"/>
  <c r="E51" i="4"/>
  <c r="F51" i="4"/>
  <c r="G51" i="4"/>
  <c r="C82" i="4"/>
  <c r="D82" i="4"/>
  <c r="E82" i="4"/>
  <c r="F82" i="4"/>
  <c r="G82" i="4"/>
  <c r="B34" i="30"/>
  <c r="B33" i="30"/>
  <c r="B30" i="30"/>
  <c r="B31" i="30" s="1"/>
  <c r="B32" i="30" s="1"/>
  <c r="G46" i="33"/>
  <c r="G38" i="33"/>
  <c r="G39" i="33"/>
  <c r="G40" i="33"/>
  <c r="G41" i="33"/>
  <c r="G42" i="33"/>
  <c r="G43" i="33"/>
  <c r="G37" i="33"/>
  <c r="B30" i="34"/>
  <c r="B17" i="34"/>
  <c r="F52" i="20"/>
  <c r="D22" i="34"/>
  <c r="D21" i="34"/>
  <c r="D20" i="34"/>
  <c r="F30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D24" i="31"/>
  <c r="D25" i="31"/>
  <c r="D26" i="31"/>
  <c r="D27" i="31"/>
  <c r="D28" i="31"/>
  <c r="D29" i="31"/>
  <c r="D9" i="31"/>
  <c r="B44" i="42"/>
  <c r="B43" i="42"/>
  <c r="B42" i="42"/>
  <c r="D24" i="42"/>
  <c r="F17" i="42"/>
  <c r="F18" i="42"/>
  <c r="F19" i="42"/>
  <c r="F20" i="42"/>
  <c r="F21" i="42"/>
  <c r="F22" i="42"/>
  <c r="F23" i="42"/>
  <c r="F16" i="42"/>
  <c r="E17" i="42"/>
  <c r="E18" i="42"/>
  <c r="E19" i="42"/>
  <c r="E20" i="42"/>
  <c r="E21" i="42"/>
  <c r="E22" i="42"/>
  <c r="E23" i="42"/>
  <c r="E16" i="42"/>
  <c r="C24" i="42"/>
  <c r="B24" i="42"/>
  <c r="B31" i="42" s="1"/>
  <c r="C10" i="42"/>
  <c r="B11" i="41"/>
  <c r="B12" i="41" s="1"/>
  <c r="H10" i="40"/>
  <c r="H12" i="40"/>
  <c r="H14" i="40"/>
  <c r="H16" i="40"/>
  <c r="H8" i="40"/>
  <c r="E19" i="40"/>
  <c r="E18" i="40"/>
  <c r="C19" i="40"/>
  <c r="D19" i="40"/>
  <c r="F19" i="40"/>
  <c r="G19" i="40"/>
  <c r="B19" i="40"/>
  <c r="C18" i="40"/>
  <c r="D18" i="40"/>
  <c r="F18" i="40"/>
  <c r="G18" i="40"/>
  <c r="B18" i="40"/>
  <c r="C41" i="39"/>
  <c r="D41" i="39"/>
  <c r="E41" i="39"/>
  <c r="F41" i="39"/>
  <c r="B41" i="39"/>
  <c r="G39" i="39"/>
  <c r="G36" i="39"/>
  <c r="G37" i="39"/>
  <c r="G38" i="39"/>
  <c r="G35" i="39"/>
  <c r="C40" i="39"/>
  <c r="D40" i="39"/>
  <c r="E40" i="39"/>
  <c r="F40" i="39"/>
  <c r="B40" i="39"/>
  <c r="C35" i="25"/>
  <c r="C34" i="25"/>
  <c r="C36" i="25" s="1"/>
  <c r="B8" i="38"/>
  <c r="B6" i="38"/>
  <c r="G24" i="36"/>
  <c r="H24" i="36"/>
  <c r="I24" i="36"/>
  <c r="J24" i="36"/>
  <c r="K24" i="36"/>
  <c r="L24" i="36"/>
  <c r="M24" i="36"/>
  <c r="F24" i="36"/>
  <c r="G20" i="36"/>
  <c r="H20" i="36"/>
  <c r="I20" i="36"/>
  <c r="J20" i="36"/>
  <c r="K20" i="36"/>
  <c r="L20" i="36"/>
  <c r="M20" i="36"/>
  <c r="F20" i="36"/>
  <c r="F27" i="36"/>
  <c r="G17" i="36"/>
  <c r="H17" i="36" s="1"/>
  <c r="F11" i="36"/>
  <c r="F13" i="36" s="1"/>
  <c r="F18" i="5" l="1"/>
  <c r="G44" i="33"/>
  <c r="D23" i="34"/>
  <c r="D25" i="34" s="1"/>
  <c r="F24" i="42"/>
  <c r="B33" i="42" s="1"/>
  <c r="E24" i="42"/>
  <c r="B32" i="42" s="1"/>
  <c r="H19" i="40"/>
  <c r="B25" i="40" s="1"/>
  <c r="B26" i="40" s="1"/>
  <c r="B27" i="40" s="1"/>
  <c r="B28" i="40" s="1"/>
  <c r="G20" i="40"/>
  <c r="H18" i="40"/>
  <c r="G41" i="39"/>
  <c r="B46" i="39" s="1"/>
  <c r="B47" i="39" s="1"/>
  <c r="G42" i="39"/>
  <c r="G40" i="39"/>
  <c r="I17" i="36"/>
  <c r="H27" i="36"/>
  <c r="G27" i="36"/>
  <c r="G3" i="36"/>
  <c r="E18" i="35"/>
  <c r="C18" i="35"/>
  <c r="B18" i="35"/>
  <c r="D17" i="35"/>
  <c r="D18" i="35" s="1"/>
  <c r="B17" i="35"/>
  <c r="B6" i="35"/>
  <c r="B10" i="35" s="1"/>
  <c r="D8" i="35"/>
  <c r="D9" i="35"/>
  <c r="D7" i="35"/>
  <c r="D5" i="35"/>
  <c r="D4" i="35"/>
  <c r="B7" i="34"/>
  <c r="B11" i="33"/>
  <c r="B15" i="33" s="1"/>
  <c r="B10" i="33"/>
  <c r="B30" i="29"/>
  <c r="B29" i="29"/>
  <c r="B31" i="29" s="1"/>
  <c r="X55" i="20"/>
  <c r="B4" i="31"/>
  <c r="B11" i="29"/>
  <c r="B15" i="29" s="1"/>
  <c r="B10" i="29"/>
  <c r="B8" i="29"/>
  <c r="B9" i="29"/>
  <c r="B7" i="29"/>
  <c r="B6" i="29"/>
  <c r="B4" i="29"/>
  <c r="T45" i="22"/>
  <c r="F39" i="20"/>
  <c r="T10" i="22"/>
  <c r="X39" i="20"/>
  <c r="Y39" i="20"/>
  <c r="Z39" i="20"/>
  <c r="AA39" i="20"/>
  <c r="W39" i="20"/>
  <c r="T43" i="22"/>
  <c r="T33" i="22"/>
  <c r="T9" i="22"/>
  <c r="T8" i="22"/>
  <c r="P14" i="22"/>
  <c r="P26" i="22" s="1"/>
  <c r="U8" i="22"/>
  <c r="V8" i="22" s="1"/>
  <c r="W8" i="22" s="1"/>
  <c r="X8" i="22" s="1"/>
  <c r="Y8" i="22" s="1"/>
  <c r="T20" i="22" s="1"/>
  <c r="U20" i="22" s="1"/>
  <c r="V20" i="22" s="1"/>
  <c r="W20" i="22" s="1"/>
  <c r="X20" i="22" s="1"/>
  <c r="Y20" i="22" s="1"/>
  <c r="B29" i="34" l="1"/>
  <c r="B31" i="34" s="1"/>
  <c r="H3" i="36"/>
  <c r="G11" i="36"/>
  <c r="G13" i="36" s="1"/>
  <c r="I27" i="36"/>
  <c r="J17" i="36"/>
  <c r="D6" i="35"/>
  <c r="D10" i="35"/>
  <c r="B14" i="33"/>
  <c r="B16" i="33" s="1"/>
  <c r="B14" i="29"/>
  <c r="B16" i="29"/>
  <c r="B6" i="30" s="1"/>
  <c r="B15" i="30" s="1"/>
  <c r="B16" i="30" s="1"/>
  <c r="I3" i="36" l="1"/>
  <c r="H11" i="36"/>
  <c r="H13" i="36" s="1"/>
  <c r="K17" i="36"/>
  <c r="J27" i="36"/>
  <c r="B17" i="30"/>
  <c r="J3" i="36" l="1"/>
  <c r="I11" i="36"/>
  <c r="I13" i="36" s="1"/>
  <c r="L17" i="36"/>
  <c r="K27" i="36"/>
  <c r="K3" i="36" l="1"/>
  <c r="J11" i="36"/>
  <c r="J13" i="36" s="1"/>
  <c r="M17" i="36"/>
  <c r="M27" i="36" s="1"/>
  <c r="L27" i="36"/>
  <c r="X32" i="20"/>
  <c r="Y32" i="20"/>
  <c r="Z32" i="20"/>
  <c r="AA32" i="20"/>
  <c r="W32" i="20"/>
  <c r="V62" i="20"/>
  <c r="L3" i="36" l="1"/>
  <c r="K11" i="36"/>
  <c r="K13" i="36" s="1"/>
  <c r="G54" i="21"/>
  <c r="F54" i="21"/>
  <c r="E54" i="21"/>
  <c r="D54" i="21"/>
  <c r="C55" i="21"/>
  <c r="G47" i="21"/>
  <c r="F47" i="21"/>
  <c r="E47" i="21"/>
  <c r="D47" i="21"/>
  <c r="D48" i="21" s="1"/>
  <c r="G38" i="21"/>
  <c r="G39" i="21" s="1"/>
  <c r="F38" i="21"/>
  <c r="F39" i="21" s="1"/>
  <c r="E38" i="21"/>
  <c r="E39" i="21" s="1"/>
  <c r="D38" i="21"/>
  <c r="D39" i="21" s="1"/>
  <c r="G25" i="21"/>
  <c r="F25" i="21"/>
  <c r="E25" i="21"/>
  <c r="D25" i="21"/>
  <c r="D26" i="21" s="1"/>
  <c r="M3" i="36" l="1"/>
  <c r="M11" i="36" s="1"/>
  <c r="M13" i="36" s="1"/>
  <c r="L11" i="36"/>
  <c r="L13" i="36" s="1"/>
  <c r="D40" i="21"/>
  <c r="K110" i="27"/>
  <c r="D147" i="27"/>
  <c r="D145" i="27"/>
  <c r="M144" i="27"/>
  <c r="K144" i="27"/>
  <c r="J144" i="27"/>
  <c r="H144" i="27"/>
  <c r="G144" i="27"/>
  <c r="F144" i="27"/>
  <c r="E144" i="27"/>
  <c r="K143" i="27"/>
  <c r="H143" i="27"/>
  <c r="G143" i="27"/>
  <c r="M142" i="27"/>
  <c r="K142" i="27"/>
  <c r="J142" i="27"/>
  <c r="H142" i="27"/>
  <c r="G142" i="27"/>
  <c r="F142" i="27"/>
  <c r="E142" i="27"/>
  <c r="K141" i="27"/>
  <c r="M140" i="27"/>
  <c r="J140" i="27"/>
  <c r="I140" i="27"/>
  <c r="M139" i="27"/>
  <c r="K139" i="27"/>
  <c r="J139" i="27"/>
  <c r="H139" i="27"/>
  <c r="G139" i="27"/>
  <c r="F139" i="27"/>
  <c r="E139" i="27"/>
  <c r="M138" i="27"/>
  <c r="K138" i="27"/>
  <c r="I138" i="27"/>
  <c r="H138" i="27"/>
  <c r="G138" i="27"/>
  <c r="F138" i="27"/>
  <c r="E138" i="27"/>
  <c r="M137" i="27"/>
  <c r="K137" i="27"/>
  <c r="J137" i="27"/>
  <c r="H137" i="27"/>
  <c r="G137" i="27"/>
  <c r="F137" i="27"/>
  <c r="E137" i="27"/>
  <c r="M136" i="27"/>
  <c r="K136" i="27"/>
  <c r="J136" i="27"/>
  <c r="H136" i="27"/>
  <c r="G136" i="27"/>
  <c r="F136" i="27"/>
  <c r="E136" i="27"/>
  <c r="M135" i="27"/>
  <c r="K135" i="27"/>
  <c r="J135" i="27"/>
  <c r="H135" i="27"/>
  <c r="G135" i="27"/>
  <c r="F135" i="27"/>
  <c r="E135" i="27"/>
  <c r="M134" i="27"/>
  <c r="K134" i="27"/>
  <c r="J134" i="27"/>
  <c r="I134" i="27"/>
  <c r="G134" i="27"/>
  <c r="F134" i="27"/>
  <c r="E134" i="27"/>
  <c r="M133" i="27"/>
  <c r="K133" i="27"/>
  <c r="I133" i="27"/>
  <c r="H133" i="27"/>
  <c r="G133" i="27"/>
  <c r="F133" i="27"/>
  <c r="E133" i="27"/>
  <c r="M132" i="27"/>
  <c r="K132" i="27"/>
  <c r="I132" i="27"/>
  <c r="H132" i="27"/>
  <c r="G132" i="27"/>
  <c r="F132" i="27"/>
  <c r="E132" i="27"/>
  <c r="M131" i="27"/>
  <c r="K131" i="27"/>
  <c r="J131" i="27"/>
  <c r="I131" i="27"/>
  <c r="G131" i="27"/>
  <c r="F131" i="27"/>
  <c r="E131" i="27"/>
  <c r="M130" i="27"/>
  <c r="K130" i="27"/>
  <c r="J130" i="27"/>
  <c r="H130" i="27"/>
  <c r="G130" i="27"/>
  <c r="F130" i="27"/>
  <c r="E130" i="27"/>
  <c r="M129" i="27"/>
  <c r="K129" i="27"/>
  <c r="J129" i="27"/>
  <c r="I129" i="27"/>
  <c r="H129" i="27"/>
  <c r="F129" i="27"/>
  <c r="E129" i="27"/>
  <c r="D119" i="27"/>
  <c r="D117" i="27"/>
  <c r="M116" i="27"/>
  <c r="K116" i="27"/>
  <c r="J116" i="27"/>
  <c r="H116" i="27"/>
  <c r="G116" i="27"/>
  <c r="F116" i="27"/>
  <c r="E116" i="27"/>
  <c r="J115" i="27"/>
  <c r="K115" i="27"/>
  <c r="G115" i="27"/>
  <c r="K114" i="27"/>
  <c r="M113" i="27"/>
  <c r="K113" i="27"/>
  <c r="J113" i="27"/>
  <c r="H113" i="27"/>
  <c r="F113" i="27"/>
  <c r="E113" i="27"/>
  <c r="M112" i="27"/>
  <c r="K112" i="27"/>
  <c r="I112" i="27"/>
  <c r="H112" i="27"/>
  <c r="G112" i="27"/>
  <c r="F112" i="27"/>
  <c r="E112" i="27"/>
  <c r="M111" i="27"/>
  <c r="K111" i="27"/>
  <c r="I111" i="27"/>
  <c r="H111" i="27"/>
  <c r="G111" i="27"/>
  <c r="F111" i="27"/>
  <c r="E111" i="27"/>
  <c r="M110" i="27"/>
  <c r="J110" i="27"/>
  <c r="H110" i="27"/>
  <c r="G110" i="27"/>
  <c r="F110" i="27"/>
  <c r="E110" i="27"/>
  <c r="M109" i="27"/>
  <c r="K109" i="27"/>
  <c r="J109" i="27"/>
  <c r="H109" i="27"/>
  <c r="G109" i="27"/>
  <c r="F109" i="27"/>
  <c r="E109" i="27"/>
  <c r="M108" i="27"/>
  <c r="K108" i="27"/>
  <c r="J108" i="27"/>
  <c r="I108" i="27"/>
  <c r="G108" i="27"/>
  <c r="F108" i="27"/>
  <c r="E108" i="27"/>
  <c r="M107" i="27"/>
  <c r="K107" i="27"/>
  <c r="J107" i="27"/>
  <c r="H107" i="27"/>
  <c r="G107" i="27"/>
  <c r="F107" i="27"/>
  <c r="E107" i="27"/>
  <c r="M106" i="27"/>
  <c r="K106" i="27"/>
  <c r="J106" i="27"/>
  <c r="I106" i="27"/>
  <c r="G106" i="27"/>
  <c r="F106" i="27"/>
  <c r="E106" i="27"/>
  <c r="M105" i="27"/>
  <c r="K105" i="27"/>
  <c r="J105" i="27"/>
  <c r="H105" i="27"/>
  <c r="G105" i="27"/>
  <c r="F105" i="27"/>
  <c r="E105" i="27"/>
  <c r="M104" i="27"/>
  <c r="K104" i="27"/>
  <c r="I104" i="27"/>
  <c r="H104" i="27"/>
  <c r="G104" i="27"/>
  <c r="F104" i="27"/>
  <c r="E104" i="27"/>
  <c r="J93" i="27"/>
  <c r="I93" i="27"/>
  <c r="G93" i="27"/>
  <c r="E93" i="27"/>
  <c r="J92" i="27"/>
  <c r="I92" i="27"/>
  <c r="H92" i="27"/>
  <c r="H93" i="27" s="1"/>
  <c r="G92" i="27"/>
  <c r="F92" i="27"/>
  <c r="F93" i="27" s="1"/>
  <c r="E92" i="27"/>
  <c r="D92" i="27"/>
  <c r="D93" i="27" s="1"/>
  <c r="D95" i="27" s="1"/>
  <c r="D96" i="27" s="1"/>
  <c r="I77" i="27"/>
  <c r="G77" i="27"/>
  <c r="E77" i="27"/>
  <c r="J76" i="27"/>
  <c r="J77" i="27" s="1"/>
  <c r="I76" i="27"/>
  <c r="H76" i="27"/>
  <c r="H77" i="27" s="1"/>
  <c r="G76" i="27"/>
  <c r="F76" i="27"/>
  <c r="F77" i="27" s="1"/>
  <c r="E76" i="27"/>
  <c r="D76" i="27"/>
  <c r="D77" i="27" s="1"/>
  <c r="E57" i="27"/>
  <c r="J56" i="27"/>
  <c r="J57" i="27" s="1"/>
  <c r="I56" i="27"/>
  <c r="I57" i="27" s="1"/>
  <c r="H56" i="27"/>
  <c r="H57" i="27" s="1"/>
  <c r="G56" i="27"/>
  <c r="G57" i="27" s="1"/>
  <c r="F56" i="27"/>
  <c r="F57" i="27" s="1"/>
  <c r="E56" i="27"/>
  <c r="D56" i="27"/>
  <c r="D57" i="27" s="1"/>
  <c r="J36" i="27"/>
  <c r="J37" i="27" s="1"/>
  <c r="I36" i="27"/>
  <c r="I37" i="27" s="1"/>
  <c r="H36" i="27"/>
  <c r="H37" i="27" s="1"/>
  <c r="G36" i="27"/>
  <c r="G37" i="27" s="1"/>
  <c r="F36" i="27"/>
  <c r="F37" i="27" s="1"/>
  <c r="E36" i="27"/>
  <c r="E37" i="27" s="1"/>
  <c r="D36" i="27"/>
  <c r="D37" i="27" s="1"/>
  <c r="B15" i="27"/>
  <c r="D17" i="27" s="1"/>
  <c r="K14" i="27"/>
  <c r="I14" i="27"/>
  <c r="G14" i="27"/>
  <c r="F14" i="27"/>
  <c r="E14" i="27"/>
  <c r="D14" i="27"/>
  <c r="C14" i="27"/>
  <c r="K13" i="27"/>
  <c r="I13" i="27"/>
  <c r="H13" i="27"/>
  <c r="G13" i="27"/>
  <c r="D13" i="27"/>
  <c r="C13" i="27"/>
  <c r="K12" i="27"/>
  <c r="I12" i="27"/>
  <c r="G12" i="27"/>
  <c r="F12" i="27"/>
  <c r="E12" i="27"/>
  <c r="D12" i="27"/>
  <c r="C12" i="27"/>
  <c r="K11" i="27"/>
  <c r="I11" i="27"/>
  <c r="F11" i="27"/>
  <c r="E11" i="27"/>
  <c r="D11" i="27"/>
  <c r="C11" i="27"/>
  <c r="K10" i="27"/>
  <c r="I10" i="27"/>
  <c r="H10" i="27"/>
  <c r="G10" i="27"/>
  <c r="F10" i="27"/>
  <c r="D10" i="27"/>
  <c r="C10" i="27"/>
  <c r="K9" i="27"/>
  <c r="I9" i="27"/>
  <c r="H9" i="27"/>
  <c r="G9" i="27"/>
  <c r="F9" i="27"/>
  <c r="D9" i="27"/>
  <c r="C9" i="27"/>
  <c r="K8" i="27"/>
  <c r="I8" i="27"/>
  <c r="G8" i="27"/>
  <c r="F8" i="27"/>
  <c r="C8" i="27"/>
  <c r="K7" i="27"/>
  <c r="I7" i="27"/>
  <c r="F7" i="27"/>
  <c r="E7" i="27"/>
  <c r="D7" i="27"/>
  <c r="C7" i="27"/>
  <c r="K6" i="27"/>
  <c r="I6" i="27"/>
  <c r="H6" i="27"/>
  <c r="G6" i="27"/>
  <c r="D6" i="27"/>
  <c r="C6" i="27"/>
  <c r="F16" i="23"/>
  <c r="E8" i="22"/>
  <c r="F8" i="22" s="1"/>
  <c r="G8" i="22" s="1"/>
  <c r="H8" i="22" s="1"/>
  <c r="I8" i="22" s="1"/>
  <c r="J8" i="22" s="1"/>
  <c r="E74" i="20"/>
  <c r="D14" i="4"/>
  <c r="E14" i="4"/>
  <c r="F14" i="4"/>
  <c r="C15" i="4"/>
  <c r="D15" i="4"/>
  <c r="E15" i="4"/>
  <c r="F15" i="4"/>
  <c r="C13" i="4"/>
  <c r="D13" i="4"/>
  <c r="E13" i="4"/>
  <c r="F13" i="4"/>
  <c r="C11" i="4"/>
  <c r="D11" i="4"/>
  <c r="E11" i="4"/>
  <c r="F11" i="4"/>
  <c r="D12" i="4"/>
  <c r="E12" i="4"/>
  <c r="F12" i="4"/>
  <c r="D83" i="4"/>
  <c r="E83" i="4"/>
  <c r="F83" i="4"/>
  <c r="G83" i="4"/>
  <c r="C84" i="4"/>
  <c r="D84" i="4"/>
  <c r="E84" i="4"/>
  <c r="F84" i="4"/>
  <c r="G84" i="4"/>
  <c r="C85" i="4"/>
  <c r="D85" i="4"/>
  <c r="E85" i="4"/>
  <c r="F85" i="4"/>
  <c r="G85" i="4"/>
  <c r="I31" i="15"/>
  <c r="E45" i="22" l="1"/>
  <c r="I141" i="27"/>
  <c r="M141" i="27"/>
  <c r="M145" i="27" s="1"/>
  <c r="D148" i="27" s="1"/>
  <c r="D149" i="27" s="1"/>
  <c r="F141" i="27"/>
  <c r="E143" i="27"/>
  <c r="M143" i="27"/>
  <c r="F143" i="27"/>
  <c r="I114" i="27"/>
  <c r="M114" i="27"/>
  <c r="M117" i="27" s="1"/>
  <c r="D120" i="27" s="1"/>
  <c r="D121" i="27" s="1"/>
  <c r="G113" i="27"/>
  <c r="F114" i="27"/>
  <c r="E115" i="27"/>
  <c r="I115" i="27"/>
  <c r="M115" i="27"/>
  <c r="F115" i="27"/>
  <c r="D79" i="27"/>
  <c r="D80" i="27" s="1"/>
  <c r="D59" i="27"/>
  <c r="D60" i="27" s="1"/>
  <c r="D39" i="27"/>
  <c r="D40" i="27" s="1"/>
  <c r="K15" i="27"/>
  <c r="D18" i="27" s="1"/>
  <c r="D19" i="27" s="1"/>
  <c r="J15" i="23"/>
  <c r="I15" i="23"/>
  <c r="J14" i="23"/>
  <c r="I14" i="23"/>
  <c r="H15" i="23" s="1"/>
  <c r="H14" i="23"/>
  <c r="G14" i="23"/>
  <c r="F14" i="23"/>
  <c r="G15" i="23" l="1"/>
  <c r="O35" i="24"/>
  <c r="O34" i="24"/>
  <c r="M35" i="24"/>
  <c r="M34" i="24"/>
  <c r="K35" i="24"/>
  <c r="K34" i="24"/>
  <c r="O7" i="24"/>
  <c r="O8" i="24"/>
  <c r="O9" i="24"/>
  <c r="O10" i="24"/>
  <c r="O11" i="24"/>
  <c r="O12" i="24"/>
  <c r="O13" i="24"/>
  <c r="O14" i="24"/>
  <c r="O15" i="24"/>
  <c r="O16" i="24"/>
  <c r="O17" i="24"/>
  <c r="O18" i="24"/>
  <c r="O19" i="24"/>
  <c r="O20" i="24"/>
  <c r="O21" i="24"/>
  <c r="O22" i="24"/>
  <c r="O23" i="24"/>
  <c r="O24" i="24"/>
  <c r="O25" i="24"/>
  <c r="O26" i="24"/>
  <c r="O27" i="24"/>
  <c r="O28" i="24"/>
  <c r="O29" i="24"/>
  <c r="O30" i="24"/>
  <c r="O31" i="24"/>
  <c r="O32" i="24"/>
  <c r="O6" i="24"/>
  <c r="M7" i="24"/>
  <c r="M8" i="24"/>
  <c r="M9" i="24"/>
  <c r="M10" i="24"/>
  <c r="M11" i="24"/>
  <c r="M12" i="24"/>
  <c r="M13" i="24"/>
  <c r="M14" i="24"/>
  <c r="M15" i="24"/>
  <c r="M16" i="24"/>
  <c r="M17" i="24"/>
  <c r="M18" i="24"/>
  <c r="M19" i="24"/>
  <c r="M20" i="24"/>
  <c r="M21" i="24"/>
  <c r="M22" i="24"/>
  <c r="M23" i="24"/>
  <c r="M24" i="24"/>
  <c r="M25" i="24"/>
  <c r="M26" i="24"/>
  <c r="M27" i="24"/>
  <c r="M28" i="24"/>
  <c r="M29" i="24"/>
  <c r="M30" i="24"/>
  <c r="M31" i="24"/>
  <c r="M32" i="24"/>
  <c r="M6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15" i="24"/>
  <c r="C157" i="24"/>
  <c r="C158" i="24"/>
  <c r="C159" i="24"/>
  <c r="C160" i="24"/>
  <c r="C161" i="24"/>
  <c r="C162" i="24"/>
  <c r="C163" i="24"/>
  <c r="C164" i="24"/>
  <c r="C165" i="24"/>
  <c r="C166" i="24"/>
  <c r="C167" i="24"/>
  <c r="C168" i="24"/>
  <c r="C169" i="24"/>
  <c r="C170" i="24"/>
  <c r="C171" i="24"/>
  <c r="C172" i="24"/>
  <c r="C173" i="24"/>
  <c r="C174" i="24"/>
  <c r="C175" i="24"/>
  <c r="C176" i="24"/>
  <c r="C156" i="24"/>
  <c r="K7" i="24"/>
  <c r="K8" i="24"/>
  <c r="K9" i="24"/>
  <c r="K10" i="24"/>
  <c r="K11" i="24"/>
  <c r="K12" i="24"/>
  <c r="K13" i="24"/>
  <c r="K14" i="24"/>
  <c r="K15" i="24"/>
  <c r="K16" i="24"/>
  <c r="K17" i="24"/>
  <c r="K18" i="24"/>
  <c r="K19" i="24"/>
  <c r="K20" i="24"/>
  <c r="K21" i="24"/>
  <c r="K22" i="24"/>
  <c r="K23" i="24"/>
  <c r="K24" i="24"/>
  <c r="K25" i="24"/>
  <c r="K26" i="24"/>
  <c r="K27" i="24"/>
  <c r="K28" i="24"/>
  <c r="K29" i="24"/>
  <c r="K30" i="24"/>
  <c r="K31" i="24"/>
  <c r="L32" i="24" s="1"/>
  <c r="K32" i="24"/>
  <c r="K6" i="24"/>
  <c r="A74" i="24"/>
  <c r="A157" i="24" s="1"/>
  <c r="A75" i="24"/>
  <c r="A158" i="24" s="1"/>
  <c r="A76" i="24"/>
  <c r="A159" i="24" s="1"/>
  <c r="A77" i="24"/>
  <c r="A160" i="24" s="1"/>
  <c r="A78" i="24"/>
  <c r="A161" i="24" s="1"/>
  <c r="A79" i="24"/>
  <c r="A162" i="24" s="1"/>
  <c r="A80" i="24"/>
  <c r="A163" i="24" s="1"/>
  <c r="A81" i="24"/>
  <c r="A164" i="24" s="1"/>
  <c r="A82" i="24"/>
  <c r="A165" i="24" s="1"/>
  <c r="A83" i="24"/>
  <c r="A166" i="24" s="1"/>
  <c r="A84" i="24"/>
  <c r="A167" i="24" s="1"/>
  <c r="A85" i="24"/>
  <c r="A168" i="24" s="1"/>
  <c r="A86" i="24"/>
  <c r="A128" i="24" s="1"/>
  <c r="A87" i="24"/>
  <c r="A170" i="24" s="1"/>
  <c r="A88" i="24"/>
  <c r="A171" i="24" s="1"/>
  <c r="A89" i="24"/>
  <c r="A172" i="24" s="1"/>
  <c r="A90" i="24"/>
  <c r="A173" i="24" s="1"/>
  <c r="A91" i="24"/>
  <c r="A174" i="24" s="1"/>
  <c r="A92" i="24"/>
  <c r="A175" i="24" s="1"/>
  <c r="A93" i="24"/>
  <c r="A176" i="24" s="1"/>
  <c r="A73" i="24"/>
  <c r="A156" i="24" s="1"/>
  <c r="D40" i="24"/>
  <c r="C40" i="24"/>
  <c r="G39" i="24"/>
  <c r="F39" i="24"/>
  <c r="D39" i="24"/>
  <c r="C39" i="24"/>
  <c r="C32" i="24"/>
  <c r="C31" i="24"/>
  <c r="C30" i="24"/>
  <c r="C29" i="24"/>
  <c r="C28" i="24"/>
  <c r="C27" i="24"/>
  <c r="H26" i="24"/>
  <c r="B93" i="24" s="1"/>
  <c r="B135" i="24" s="1"/>
  <c r="D135" i="24" s="1"/>
  <c r="C26" i="24"/>
  <c r="H25" i="24"/>
  <c r="R25" i="24" s="1"/>
  <c r="C25" i="24"/>
  <c r="H24" i="24"/>
  <c r="R24" i="24" s="1"/>
  <c r="C24" i="24"/>
  <c r="H23" i="24"/>
  <c r="B90" i="24" s="1"/>
  <c r="B132" i="24" s="1"/>
  <c r="D132" i="24" s="1"/>
  <c r="C23" i="24"/>
  <c r="H22" i="24"/>
  <c r="R22" i="24" s="1"/>
  <c r="C22" i="24"/>
  <c r="H21" i="24"/>
  <c r="R21" i="24" s="1"/>
  <c r="C21" i="24"/>
  <c r="H20" i="24"/>
  <c r="R20" i="24" s="1"/>
  <c r="C20" i="24"/>
  <c r="H19" i="24"/>
  <c r="B86" i="24" s="1"/>
  <c r="B128" i="24" s="1"/>
  <c r="D128" i="24" s="1"/>
  <c r="C19" i="24"/>
  <c r="H18" i="24"/>
  <c r="R18" i="24" s="1"/>
  <c r="C18" i="24"/>
  <c r="H17" i="24"/>
  <c r="R17" i="24" s="1"/>
  <c r="C17" i="24"/>
  <c r="H16" i="24"/>
  <c r="R16" i="24" s="1"/>
  <c r="C16" i="24"/>
  <c r="H15" i="24"/>
  <c r="B82" i="24" s="1"/>
  <c r="B124" i="24" s="1"/>
  <c r="D124" i="24" s="1"/>
  <c r="C15" i="24"/>
  <c r="H14" i="24"/>
  <c r="R14" i="24" s="1"/>
  <c r="C14" i="24"/>
  <c r="H13" i="24"/>
  <c r="R13" i="24" s="1"/>
  <c r="C13" i="24"/>
  <c r="H12" i="24"/>
  <c r="R12" i="24" s="1"/>
  <c r="C12" i="24"/>
  <c r="H11" i="24"/>
  <c r="B78" i="24" s="1"/>
  <c r="B120" i="24" s="1"/>
  <c r="D120" i="24" s="1"/>
  <c r="C11" i="24"/>
  <c r="H10" i="24"/>
  <c r="R10" i="24" s="1"/>
  <c r="C10" i="24"/>
  <c r="H9" i="24"/>
  <c r="R9" i="24" s="1"/>
  <c r="C9" i="24"/>
  <c r="H8" i="24"/>
  <c r="R8" i="24" s="1"/>
  <c r="C8" i="24"/>
  <c r="H7" i="24"/>
  <c r="B74" i="24" s="1"/>
  <c r="B116" i="24" s="1"/>
  <c r="D116" i="24" s="1"/>
  <c r="C7" i="24"/>
  <c r="H6" i="24"/>
  <c r="R6" i="24" s="1"/>
  <c r="U6" i="24" s="1"/>
  <c r="G16" i="23"/>
  <c r="G18" i="23" s="1"/>
  <c r="H16" i="23"/>
  <c r="H18" i="23" s="1"/>
  <c r="I16" i="23"/>
  <c r="I18" i="23" s="1"/>
  <c r="F15" i="23"/>
  <c r="P31" i="24" l="1"/>
  <c r="S31" i="24" s="1"/>
  <c r="A125" i="24"/>
  <c r="A121" i="24"/>
  <c r="A133" i="24"/>
  <c r="A117" i="24"/>
  <c r="A129" i="24"/>
  <c r="P30" i="24"/>
  <c r="S30" i="24" s="1"/>
  <c r="A169" i="24"/>
  <c r="A115" i="24"/>
  <c r="A132" i="24"/>
  <c r="A124" i="24"/>
  <c r="A120" i="24"/>
  <c r="A116" i="24"/>
  <c r="A135" i="24"/>
  <c r="A131" i="24"/>
  <c r="A127" i="24"/>
  <c r="A123" i="24"/>
  <c r="A119" i="24"/>
  <c r="A134" i="24"/>
  <c r="A130" i="24"/>
  <c r="A126" i="24"/>
  <c r="A122" i="24"/>
  <c r="A118" i="24"/>
  <c r="L29" i="24"/>
  <c r="N28" i="24"/>
  <c r="P29" i="24"/>
  <c r="S29" i="24" s="1"/>
  <c r="B157" i="24"/>
  <c r="N27" i="24"/>
  <c r="B173" i="24"/>
  <c r="L31" i="24"/>
  <c r="B169" i="24"/>
  <c r="B165" i="24"/>
  <c r="B156" i="24"/>
  <c r="B161" i="24"/>
  <c r="N29" i="24"/>
  <c r="P32" i="24"/>
  <c r="S32" i="24" s="1"/>
  <c r="B176" i="24"/>
  <c r="B172" i="24"/>
  <c r="B168" i="24"/>
  <c r="B164" i="24"/>
  <c r="B160" i="24"/>
  <c r="B73" i="24"/>
  <c r="B115" i="24" s="1"/>
  <c r="D115" i="24" s="1"/>
  <c r="B175" i="24"/>
  <c r="B171" i="24"/>
  <c r="B167" i="24"/>
  <c r="B163" i="24"/>
  <c r="B159" i="24"/>
  <c r="B174" i="24"/>
  <c r="B170" i="24"/>
  <c r="B166" i="24"/>
  <c r="B162" i="24"/>
  <c r="B158" i="24"/>
  <c r="L30" i="24"/>
  <c r="L15" i="24"/>
  <c r="P17" i="24"/>
  <c r="L19" i="24"/>
  <c r="B89" i="24"/>
  <c r="B131" i="24" s="1"/>
  <c r="D131" i="24" s="1"/>
  <c r="B85" i="24"/>
  <c r="B127" i="24" s="1"/>
  <c r="D127" i="24" s="1"/>
  <c r="B81" i="24"/>
  <c r="B123" i="24" s="1"/>
  <c r="D123" i="24" s="1"/>
  <c r="B77" i="24"/>
  <c r="B119" i="24" s="1"/>
  <c r="D119" i="24" s="1"/>
  <c r="B92" i="24"/>
  <c r="B134" i="24" s="1"/>
  <c r="D134" i="24" s="1"/>
  <c r="B88" i="24"/>
  <c r="B130" i="24" s="1"/>
  <c r="D130" i="24" s="1"/>
  <c r="B84" i="24"/>
  <c r="B126" i="24" s="1"/>
  <c r="D126" i="24" s="1"/>
  <c r="B80" i="24"/>
  <c r="B122" i="24" s="1"/>
  <c r="D122" i="24" s="1"/>
  <c r="B76" i="24"/>
  <c r="B118" i="24" s="1"/>
  <c r="D118" i="24" s="1"/>
  <c r="P7" i="24"/>
  <c r="N16" i="24"/>
  <c r="N20" i="24"/>
  <c r="B91" i="24"/>
  <c r="B133" i="24" s="1"/>
  <c r="D133" i="24" s="1"/>
  <c r="B87" i="24"/>
  <c r="B129" i="24" s="1"/>
  <c r="D129" i="24" s="1"/>
  <c r="B83" i="24"/>
  <c r="B125" i="24" s="1"/>
  <c r="D125" i="24" s="1"/>
  <c r="B79" i="24"/>
  <c r="B121" i="24" s="1"/>
  <c r="D121" i="24" s="1"/>
  <c r="B75" i="24"/>
  <c r="B117" i="24" s="1"/>
  <c r="D117" i="24" s="1"/>
  <c r="N9" i="24"/>
  <c r="N13" i="24"/>
  <c r="L14" i="24"/>
  <c r="N25" i="24"/>
  <c r="L26" i="24"/>
  <c r="L7" i="24"/>
  <c r="P21" i="24"/>
  <c r="L23" i="24"/>
  <c r="P25" i="24"/>
  <c r="P10" i="24"/>
  <c r="N11" i="24"/>
  <c r="P14" i="24"/>
  <c r="L10" i="24"/>
  <c r="N15" i="24"/>
  <c r="P18" i="24"/>
  <c r="N19" i="24"/>
  <c r="P22" i="24"/>
  <c r="L27" i="24"/>
  <c r="I25" i="24"/>
  <c r="L11" i="24"/>
  <c r="P13" i="24"/>
  <c r="N17" i="24"/>
  <c r="L18" i="24"/>
  <c r="N21" i="24"/>
  <c r="L22" i="24"/>
  <c r="P24" i="24"/>
  <c r="L25" i="24"/>
  <c r="L8" i="24"/>
  <c r="P11" i="24"/>
  <c r="L12" i="24"/>
  <c r="P15" i="24"/>
  <c r="L16" i="24"/>
  <c r="P19" i="24"/>
  <c r="L20" i="24"/>
  <c r="P23" i="24"/>
  <c r="L40" i="24"/>
  <c r="N7" i="24"/>
  <c r="N8" i="24"/>
  <c r="I9" i="24"/>
  <c r="P9" i="24"/>
  <c r="N12" i="24"/>
  <c r="I13" i="24"/>
  <c r="I17" i="24"/>
  <c r="I21" i="24"/>
  <c r="N24" i="24"/>
  <c r="I39" i="24"/>
  <c r="P39" i="24"/>
  <c r="N30" i="24"/>
  <c r="N31" i="24"/>
  <c r="N32" i="24"/>
  <c r="I7" i="24"/>
  <c r="I8" i="24"/>
  <c r="P8" i="24"/>
  <c r="L9" i="24"/>
  <c r="N10" i="24"/>
  <c r="I11" i="24"/>
  <c r="I12" i="24"/>
  <c r="P12" i="24"/>
  <c r="L13" i="24"/>
  <c r="N14" i="24"/>
  <c r="I15" i="24"/>
  <c r="I16" i="24"/>
  <c r="P16" i="24"/>
  <c r="L17" i="24"/>
  <c r="N18" i="24"/>
  <c r="I19" i="24"/>
  <c r="I20" i="24"/>
  <c r="P20" i="24"/>
  <c r="L21" i="24"/>
  <c r="N22" i="24"/>
  <c r="I24" i="24"/>
  <c r="L24" i="24"/>
  <c r="L39" i="24"/>
  <c r="P26" i="24"/>
  <c r="P40" i="24"/>
  <c r="U10" i="24"/>
  <c r="S10" i="24"/>
  <c r="U14" i="24"/>
  <c r="S14" i="24"/>
  <c r="U18" i="24"/>
  <c r="S18" i="24"/>
  <c r="U22" i="24"/>
  <c r="S22" i="24"/>
  <c r="S9" i="24"/>
  <c r="U9" i="24"/>
  <c r="S13" i="24"/>
  <c r="U13" i="24"/>
  <c r="S17" i="24"/>
  <c r="U17" i="24"/>
  <c r="S21" i="24"/>
  <c r="U21" i="24"/>
  <c r="U8" i="24"/>
  <c r="U12" i="24"/>
  <c r="U16" i="24"/>
  <c r="U20" i="24"/>
  <c r="U24" i="24"/>
  <c r="S25" i="24"/>
  <c r="U25" i="24"/>
  <c r="R7" i="24"/>
  <c r="S8" i="24" s="1"/>
  <c r="I10" i="24"/>
  <c r="R11" i="24"/>
  <c r="S12" i="24" s="1"/>
  <c r="I14" i="24"/>
  <c r="R15" i="24"/>
  <c r="S16" i="24" s="1"/>
  <c r="I18" i="24"/>
  <c r="R19" i="24"/>
  <c r="S20" i="24" s="1"/>
  <c r="I22" i="24"/>
  <c r="R23" i="24"/>
  <c r="S24" i="24" s="1"/>
  <c r="I26" i="24"/>
  <c r="N26" i="24"/>
  <c r="L28" i="24"/>
  <c r="P28" i="24"/>
  <c r="S28" i="24" s="1"/>
  <c r="N40" i="24"/>
  <c r="I23" i="24"/>
  <c r="N23" i="24"/>
  <c r="P27" i="24"/>
  <c r="S27" i="24" s="1"/>
  <c r="N39" i="24"/>
  <c r="R26" i="24"/>
  <c r="V14" i="24" l="1"/>
  <c r="V22" i="24"/>
  <c r="V18" i="24"/>
  <c r="V10" i="24"/>
  <c r="V25" i="24"/>
  <c r="V21" i="24"/>
  <c r="V13" i="24"/>
  <c r="S39" i="24"/>
  <c r="R27" i="24"/>
  <c r="U26" i="24"/>
  <c r="S26" i="24"/>
  <c r="U19" i="24"/>
  <c r="V19" i="24" s="1"/>
  <c r="S19" i="24"/>
  <c r="U11" i="24"/>
  <c r="V11" i="24" s="1"/>
  <c r="S11" i="24"/>
  <c r="V17" i="24"/>
  <c r="V9" i="24"/>
  <c r="U23" i="24"/>
  <c r="V23" i="24" s="1"/>
  <c r="S23" i="24"/>
  <c r="U15" i="24"/>
  <c r="V15" i="24" s="1"/>
  <c r="S15" i="24"/>
  <c r="U7" i="24"/>
  <c r="V7" i="24" s="1"/>
  <c r="S7" i="24"/>
  <c r="V16" i="24" l="1"/>
  <c r="V20" i="24"/>
  <c r="V12" i="24"/>
  <c r="V8" i="24"/>
  <c r="V24" i="24"/>
  <c r="V26" i="24"/>
  <c r="V39" i="24"/>
  <c r="R28" i="24"/>
  <c r="U27" i="24"/>
  <c r="V27" i="24" s="1"/>
  <c r="U28" i="24" l="1"/>
  <c r="V28" i="24" s="1"/>
  <c r="R29" i="24"/>
  <c r="R30" i="24" l="1"/>
  <c r="U29" i="24"/>
  <c r="V29" i="24" s="1"/>
  <c r="R31" i="24" l="1"/>
  <c r="U30" i="24"/>
  <c r="V30" i="24" s="1"/>
  <c r="R32" i="24" l="1"/>
  <c r="U31" i="24"/>
  <c r="V31" i="24" s="1"/>
  <c r="U32" i="24" l="1"/>
  <c r="S40" i="24"/>
  <c r="V40" i="24" l="1"/>
  <c r="V32" i="24"/>
  <c r="G11" i="23" l="1"/>
  <c r="H11" i="23"/>
  <c r="I11" i="23"/>
  <c r="J11" i="23"/>
  <c r="G12" i="23"/>
  <c r="H12" i="23"/>
  <c r="I12" i="23"/>
  <c r="J12" i="23"/>
  <c r="F12" i="23"/>
  <c r="F11" i="23"/>
  <c r="G9" i="23"/>
  <c r="H9" i="23"/>
  <c r="I9" i="23"/>
  <c r="J9" i="23"/>
  <c r="F9" i="23"/>
  <c r="G8" i="23"/>
  <c r="H8" i="23"/>
  <c r="H13" i="23" s="1"/>
  <c r="I8" i="23"/>
  <c r="J8" i="23"/>
  <c r="F8" i="23"/>
  <c r="G7" i="23"/>
  <c r="H7" i="23"/>
  <c r="I7" i="23"/>
  <c r="J7" i="23"/>
  <c r="F7" i="23"/>
  <c r="G6" i="23"/>
  <c r="H6" i="23"/>
  <c r="I6" i="23"/>
  <c r="J6" i="23"/>
  <c r="F6" i="23"/>
  <c r="G5" i="23"/>
  <c r="G13" i="23" s="1"/>
  <c r="H5" i="23"/>
  <c r="I5" i="23"/>
  <c r="I13" i="23" s="1"/>
  <c r="F5" i="23"/>
  <c r="F13" i="23" s="1"/>
  <c r="F18" i="23" s="1"/>
  <c r="J4" i="23"/>
  <c r="G4" i="23"/>
  <c r="H4" i="23"/>
  <c r="I4" i="23"/>
  <c r="F4" i="23"/>
  <c r="A25" i="23"/>
  <c r="E20" i="22"/>
  <c r="F20" i="22" s="1"/>
  <c r="G20" i="22" s="1"/>
  <c r="H20" i="22" s="1"/>
  <c r="I20" i="22" s="1"/>
  <c r="J20" i="22" s="1"/>
  <c r="A14" i="22"/>
  <c r="A26" i="22" s="1"/>
  <c r="E8" i="21"/>
  <c r="E7" i="21"/>
  <c r="E4" i="21"/>
  <c r="E14" i="21"/>
  <c r="E16" i="21"/>
  <c r="E59" i="20"/>
  <c r="E33" i="22" s="1"/>
  <c r="K22" i="20"/>
  <c r="E12" i="20"/>
  <c r="F12" i="20" s="1"/>
  <c r="G12" i="20" s="1"/>
  <c r="H12" i="20" s="1"/>
  <c r="I12" i="20" s="1"/>
  <c r="J12" i="20" s="1"/>
  <c r="E21" i="20"/>
  <c r="F21" i="20" s="1"/>
  <c r="G21" i="20" s="1"/>
  <c r="H21" i="20" s="1"/>
  <c r="I21" i="20" s="1"/>
  <c r="J21" i="20" s="1"/>
  <c r="E14" i="20"/>
  <c r="E13" i="20"/>
  <c r="F5" i="20"/>
  <c r="G5" i="20"/>
  <c r="H5" i="20"/>
  <c r="I5" i="20"/>
  <c r="J5" i="20"/>
  <c r="E5" i="20"/>
  <c r="E4" i="20"/>
  <c r="F4" i="20" s="1"/>
  <c r="G4" i="20" s="1"/>
  <c r="H4" i="20" s="1"/>
  <c r="I4" i="20" s="1"/>
  <c r="J4" i="20" s="1"/>
  <c r="E15" i="21" l="1"/>
  <c r="E17" i="21" s="1"/>
  <c r="F29" i="20"/>
  <c r="E15" i="20"/>
  <c r="E10" i="22" s="1"/>
  <c r="E43" i="22" s="1"/>
  <c r="G29" i="20" l="1"/>
  <c r="H29" i="20" s="1"/>
  <c r="I29" i="20" s="1"/>
  <c r="J29" i="20" s="1"/>
  <c r="E45" i="20" s="1"/>
  <c r="F45" i="20" s="1"/>
  <c r="G45" i="20" s="1"/>
  <c r="W29" i="20"/>
  <c r="X29" i="20" s="1"/>
  <c r="Y29" i="20" s="1"/>
  <c r="Z29" i="20" s="1"/>
  <c r="AA29" i="20" s="1"/>
  <c r="V48" i="20" s="1"/>
  <c r="W48" i="20" s="1"/>
  <c r="X48" i="20" s="1"/>
  <c r="Y48" i="20" s="1"/>
  <c r="Z48" i="20" s="1"/>
  <c r="AA48" i="20" s="1"/>
  <c r="H45" i="20"/>
  <c r="I45" i="20" l="1"/>
  <c r="J45" i="20" l="1"/>
  <c r="E31" i="19" l="1"/>
  <c r="E53" i="19" s="1"/>
  <c r="E27" i="19"/>
  <c r="E52" i="19" s="1"/>
  <c r="E24" i="19"/>
  <c r="E22" i="19"/>
  <c r="E15" i="19"/>
  <c r="E39" i="19" s="1"/>
  <c r="E131" i="14"/>
  <c r="E8" i="19"/>
  <c r="E41" i="19" s="1"/>
  <c r="G60" i="19"/>
  <c r="G59" i="19"/>
  <c r="F66" i="19" s="1"/>
  <c r="E48" i="19"/>
  <c r="E86" i="18"/>
  <c r="C79" i="18"/>
  <c r="C78" i="18"/>
  <c r="C77" i="18"/>
  <c r="E76" i="18"/>
  <c r="E69" i="18"/>
  <c r="E70" i="18"/>
  <c r="E71" i="18"/>
  <c r="E68" i="18"/>
  <c r="C69" i="18"/>
  <c r="C70" i="18"/>
  <c r="C71" i="18"/>
  <c r="C68" i="18"/>
  <c r="E60" i="18"/>
  <c r="E61" i="18"/>
  <c r="E62" i="18"/>
  <c r="F62" i="18" s="1"/>
  <c r="E59" i="18"/>
  <c r="C60" i="18"/>
  <c r="C61" i="18"/>
  <c r="C62" i="18"/>
  <c r="C59" i="18"/>
  <c r="E53" i="18"/>
  <c r="E54" i="18"/>
  <c r="E55" i="18"/>
  <c r="E52" i="18"/>
  <c r="F52" i="18" s="1"/>
  <c r="C53" i="18"/>
  <c r="C54" i="18"/>
  <c r="C55" i="18"/>
  <c r="C52" i="18"/>
  <c r="E46" i="18"/>
  <c r="E47" i="18"/>
  <c r="E48" i="18"/>
  <c r="F48" i="18" s="1"/>
  <c r="E45" i="18"/>
  <c r="C46" i="18"/>
  <c r="C47" i="18"/>
  <c r="C48" i="18"/>
  <c r="C45" i="18"/>
  <c r="E39" i="18"/>
  <c r="E40" i="18"/>
  <c r="E41" i="18"/>
  <c r="E38" i="18"/>
  <c r="C39" i="18"/>
  <c r="C40" i="18"/>
  <c r="C41" i="18"/>
  <c r="C38" i="18"/>
  <c r="E32" i="18"/>
  <c r="E33" i="18"/>
  <c r="E34" i="18"/>
  <c r="E31" i="18"/>
  <c r="C31" i="18"/>
  <c r="C32" i="18"/>
  <c r="C33" i="18"/>
  <c r="C34" i="18"/>
  <c r="E25" i="18"/>
  <c r="E26" i="18"/>
  <c r="E27" i="18"/>
  <c r="E24" i="18"/>
  <c r="C25" i="18"/>
  <c r="C26" i="18"/>
  <c r="C27" i="18"/>
  <c r="C24" i="18"/>
  <c r="E17" i="18"/>
  <c r="E18" i="18"/>
  <c r="E19" i="18"/>
  <c r="E16" i="18"/>
  <c r="C19" i="18"/>
  <c r="C18" i="18"/>
  <c r="C17" i="18"/>
  <c r="C16" i="18"/>
  <c r="D16" i="18" s="1"/>
  <c r="C10" i="18"/>
  <c r="C8" i="18"/>
  <c r="C7" i="18"/>
  <c r="D72" i="18"/>
  <c r="C12" i="18" s="1"/>
  <c r="E12" i="18" s="1"/>
  <c r="F71" i="18"/>
  <c r="F70" i="18"/>
  <c r="F69" i="18"/>
  <c r="F68" i="18"/>
  <c r="D63" i="18"/>
  <c r="F61" i="18"/>
  <c r="F60" i="18"/>
  <c r="F59" i="18"/>
  <c r="D56" i="18"/>
  <c r="E10" i="18" s="1"/>
  <c r="F55" i="18"/>
  <c r="F54" i="18"/>
  <c r="F53" i="18"/>
  <c r="D49" i="18"/>
  <c r="C9" i="18" s="1"/>
  <c r="E9" i="18" s="1"/>
  <c r="F47" i="18"/>
  <c r="F46" i="18"/>
  <c r="F45" i="18"/>
  <c r="D42" i="18"/>
  <c r="E8" i="18" s="1"/>
  <c r="F41" i="18"/>
  <c r="F40" i="18"/>
  <c r="F39" i="18"/>
  <c r="F38" i="18"/>
  <c r="D35" i="18"/>
  <c r="E7" i="18" s="1"/>
  <c r="F34" i="18"/>
  <c r="F33" i="18"/>
  <c r="F32" i="18"/>
  <c r="F31" i="18"/>
  <c r="D28" i="18"/>
  <c r="C6" i="18" s="1"/>
  <c r="F27" i="18"/>
  <c r="F26" i="18"/>
  <c r="F25" i="18"/>
  <c r="F24" i="18"/>
  <c r="D19" i="18"/>
  <c r="D18" i="18"/>
  <c r="D17" i="18"/>
  <c r="C11" i="18"/>
  <c r="E11" i="18" s="1"/>
  <c r="I8" i="18"/>
  <c r="H18" i="17"/>
  <c r="H11" i="17"/>
  <c r="H12" i="17" s="1"/>
  <c r="H6" i="17"/>
  <c r="E158" i="14"/>
  <c r="F158" i="14"/>
  <c r="G158" i="14" s="1"/>
  <c r="H158" i="14" s="1"/>
  <c r="I158" i="14" s="1"/>
  <c r="J158" i="14" s="1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F116" i="14" s="1"/>
  <c r="E117" i="14"/>
  <c r="E164" i="14" s="1"/>
  <c r="E118" i="14"/>
  <c r="E119" i="14"/>
  <c r="E120" i="14"/>
  <c r="E121" i="14"/>
  <c r="E122" i="14"/>
  <c r="E124" i="14"/>
  <c r="E126" i="14"/>
  <c r="E127" i="14"/>
  <c r="H153" i="14"/>
  <c r="I153" i="14"/>
  <c r="G154" i="14"/>
  <c r="G153" i="14" s="1"/>
  <c r="H154" i="14"/>
  <c r="I154" i="14"/>
  <c r="J154" i="14"/>
  <c r="J153" i="14" s="1"/>
  <c r="F154" i="14"/>
  <c r="F153" i="14" s="1"/>
  <c r="F151" i="14"/>
  <c r="G151" i="14" s="1"/>
  <c r="G148" i="14"/>
  <c r="H148" i="14"/>
  <c r="I148" i="14"/>
  <c r="J148" i="14"/>
  <c r="G149" i="14"/>
  <c r="H149" i="14"/>
  <c r="I149" i="14"/>
  <c r="J149" i="14"/>
  <c r="F149" i="14"/>
  <c r="F148" i="14"/>
  <c r="G147" i="14"/>
  <c r="H147" i="14"/>
  <c r="I147" i="14"/>
  <c r="J147" i="14"/>
  <c r="F147" i="14"/>
  <c r="G146" i="14"/>
  <c r="G145" i="14" s="1"/>
  <c r="G6" i="20" s="1"/>
  <c r="H146" i="14"/>
  <c r="H145" i="14" s="1"/>
  <c r="H6" i="20" s="1"/>
  <c r="I146" i="14"/>
  <c r="I145" i="14" s="1"/>
  <c r="I6" i="20" s="1"/>
  <c r="J146" i="14"/>
  <c r="F146" i="14"/>
  <c r="G126" i="14"/>
  <c r="J126" i="14"/>
  <c r="F126" i="14"/>
  <c r="G127" i="14"/>
  <c r="H127" i="14"/>
  <c r="H126" i="14" s="1"/>
  <c r="I127" i="14"/>
  <c r="I126" i="14" s="1"/>
  <c r="J127" i="14"/>
  <c r="F127" i="14"/>
  <c r="F124" i="14"/>
  <c r="G124" i="14"/>
  <c r="H124" i="14"/>
  <c r="I124" i="14"/>
  <c r="J124" i="14"/>
  <c r="E92" i="14"/>
  <c r="G122" i="14"/>
  <c r="G121" i="14" s="1"/>
  <c r="H122" i="14"/>
  <c r="H121" i="14" s="1"/>
  <c r="I122" i="14"/>
  <c r="I121" i="14" s="1"/>
  <c r="J122" i="14"/>
  <c r="J121" i="14" s="1"/>
  <c r="F122" i="14"/>
  <c r="F121" i="14" s="1"/>
  <c r="G120" i="14"/>
  <c r="H120" i="14"/>
  <c r="I120" i="14"/>
  <c r="J120" i="14"/>
  <c r="F120" i="14"/>
  <c r="D2" i="16"/>
  <c r="E50" i="16"/>
  <c r="D47" i="16"/>
  <c r="B46" i="16"/>
  <c r="B45" i="16"/>
  <c r="B44" i="16"/>
  <c r="B43" i="16"/>
  <c r="B42" i="16"/>
  <c r="B41" i="16"/>
  <c r="B40" i="16"/>
  <c r="B39" i="16"/>
  <c r="C27" i="16"/>
  <c r="D33" i="16" s="1"/>
  <c r="D34" i="16" s="1"/>
  <c r="C26" i="16"/>
  <c r="D30" i="16" s="1"/>
  <c r="D31" i="16" s="1"/>
  <c r="E40" i="16" s="1"/>
  <c r="D15" i="16"/>
  <c r="D20" i="16" s="1"/>
  <c r="G112" i="14"/>
  <c r="H112" i="14"/>
  <c r="I112" i="14"/>
  <c r="J112" i="14"/>
  <c r="F112" i="14"/>
  <c r="G111" i="14"/>
  <c r="H111" i="14"/>
  <c r="I111" i="14"/>
  <c r="J111" i="14"/>
  <c r="F111" i="14"/>
  <c r="F115" i="14"/>
  <c r="E132" i="14"/>
  <c r="F132" i="14" s="1"/>
  <c r="E133" i="14"/>
  <c r="E134" i="14"/>
  <c r="F134" i="14" s="1"/>
  <c r="E135" i="14"/>
  <c r="E136" i="14"/>
  <c r="F136" i="14" s="1"/>
  <c r="E137" i="14"/>
  <c r="E138" i="14"/>
  <c r="E140" i="14"/>
  <c r="E141" i="14"/>
  <c r="E142" i="14"/>
  <c r="F142" i="14" s="1"/>
  <c r="E143" i="14"/>
  <c r="E144" i="14"/>
  <c r="E7" i="19" s="1"/>
  <c r="E21" i="19" s="1"/>
  <c r="E40" i="19" s="1"/>
  <c r="E145" i="14"/>
  <c r="E6" i="20" s="1"/>
  <c r="E146" i="14"/>
  <c r="E147" i="14"/>
  <c r="E148" i="14"/>
  <c r="E149" i="14"/>
  <c r="E150" i="14"/>
  <c r="E151" i="14"/>
  <c r="E152" i="14"/>
  <c r="E9" i="19" s="1"/>
  <c r="E42" i="19" s="1"/>
  <c r="F53" i="19" s="1"/>
  <c r="E153" i="14"/>
  <c r="E154" i="14"/>
  <c r="F105" i="14"/>
  <c r="G105" i="14" s="1"/>
  <c r="H105" i="14" s="1"/>
  <c r="I105" i="14" s="1"/>
  <c r="J105" i="14" s="1"/>
  <c r="E98" i="14"/>
  <c r="F98" i="14" s="1"/>
  <c r="G98" i="14" s="1"/>
  <c r="H98" i="14" s="1"/>
  <c r="I98" i="14" s="1"/>
  <c r="J98" i="14" s="1"/>
  <c r="E93" i="14"/>
  <c r="E90" i="14"/>
  <c r="E89" i="14"/>
  <c r="E88" i="14"/>
  <c r="F87" i="14"/>
  <c r="G87" i="14"/>
  <c r="H87" i="14"/>
  <c r="I87" i="14"/>
  <c r="J87" i="14"/>
  <c r="E86" i="14"/>
  <c r="F86" i="14" s="1"/>
  <c r="G86" i="14" s="1"/>
  <c r="H86" i="14" s="1"/>
  <c r="I86" i="14" s="1"/>
  <c r="J86" i="14" s="1"/>
  <c r="E81" i="14"/>
  <c r="E80" i="14" s="1"/>
  <c r="F77" i="14"/>
  <c r="G77" i="14"/>
  <c r="H77" i="14"/>
  <c r="I77" i="14"/>
  <c r="J77" i="14"/>
  <c r="F78" i="14"/>
  <c r="G78" i="14"/>
  <c r="H78" i="14"/>
  <c r="I78" i="14"/>
  <c r="J78" i="14"/>
  <c r="E78" i="14"/>
  <c r="E72" i="14"/>
  <c r="F72" i="14" s="1"/>
  <c r="G72" i="14" s="1"/>
  <c r="H72" i="14" s="1"/>
  <c r="I72" i="14" s="1"/>
  <c r="J72" i="14" s="1"/>
  <c r="E67" i="14"/>
  <c r="F67" i="14" s="1"/>
  <c r="G67" i="14" s="1"/>
  <c r="H67" i="14" s="1"/>
  <c r="I67" i="14" s="1"/>
  <c r="J67" i="14" s="1"/>
  <c r="G61" i="14"/>
  <c r="G62" i="14" s="1"/>
  <c r="H61" i="14"/>
  <c r="H62" i="14" s="1"/>
  <c r="I61" i="14"/>
  <c r="I62" i="14" s="1"/>
  <c r="J61" i="14"/>
  <c r="J62" i="14" s="1"/>
  <c r="F61" i="14"/>
  <c r="F62" i="14" s="1"/>
  <c r="E61" i="14"/>
  <c r="E62" i="14" s="1"/>
  <c r="G57" i="14"/>
  <c r="H57" i="14"/>
  <c r="I57" i="14"/>
  <c r="J57" i="14"/>
  <c r="F57" i="14"/>
  <c r="G56" i="14"/>
  <c r="H56" i="14"/>
  <c r="I56" i="14"/>
  <c r="J56" i="14"/>
  <c r="F56" i="14"/>
  <c r="E58" i="14"/>
  <c r="E57" i="14"/>
  <c r="E56" i="14"/>
  <c r="E54" i="14"/>
  <c r="E53" i="14"/>
  <c r="F18" i="14"/>
  <c r="F54" i="14" s="1"/>
  <c r="G18" i="14"/>
  <c r="G54" i="14" s="1"/>
  <c r="H18" i="14"/>
  <c r="H54" i="14" s="1"/>
  <c r="I18" i="14"/>
  <c r="I54" i="14" s="1"/>
  <c r="J18" i="14"/>
  <c r="J54" i="14" s="1"/>
  <c r="E48" i="14"/>
  <c r="F48" i="14" s="1"/>
  <c r="G48" i="14" s="1"/>
  <c r="H48" i="14" s="1"/>
  <c r="I48" i="14" s="1"/>
  <c r="J48" i="14" s="1"/>
  <c r="E45" i="14"/>
  <c r="G33" i="15"/>
  <c r="H33" i="15"/>
  <c r="G32" i="15"/>
  <c r="H32" i="15"/>
  <c r="G31" i="15"/>
  <c r="H31" i="15"/>
  <c r="F31" i="15"/>
  <c r="G29" i="15"/>
  <c r="H29" i="15"/>
  <c r="I29" i="15"/>
  <c r="F29" i="15"/>
  <c r="G28" i="15"/>
  <c r="H28" i="15"/>
  <c r="I28" i="15"/>
  <c r="F28" i="15"/>
  <c r="G27" i="15"/>
  <c r="H27" i="15"/>
  <c r="I27" i="15"/>
  <c r="F27" i="15"/>
  <c r="F24" i="15" s="1"/>
  <c r="G26" i="15"/>
  <c r="H26" i="15"/>
  <c r="I26" i="15"/>
  <c r="F26" i="15"/>
  <c r="I25" i="15"/>
  <c r="G25" i="15"/>
  <c r="H25" i="15"/>
  <c r="F25" i="15"/>
  <c r="G24" i="15"/>
  <c r="H24" i="15"/>
  <c r="H22" i="15"/>
  <c r="G22" i="15"/>
  <c r="I22" i="15"/>
  <c r="G18" i="15"/>
  <c r="H18" i="15"/>
  <c r="I18" i="15"/>
  <c r="G21" i="15"/>
  <c r="H21" i="15"/>
  <c r="I21" i="15"/>
  <c r="F21" i="15"/>
  <c r="G20" i="15"/>
  <c r="H20" i="15"/>
  <c r="I20" i="15"/>
  <c r="F20" i="15"/>
  <c r="G19" i="15"/>
  <c r="H19" i="15"/>
  <c r="I19" i="15"/>
  <c r="G16" i="15"/>
  <c r="H16" i="15"/>
  <c r="G15" i="15"/>
  <c r="H15" i="15"/>
  <c r="I15" i="15"/>
  <c r="F15" i="15"/>
  <c r="G14" i="15"/>
  <c r="H14" i="15"/>
  <c r="I14" i="15"/>
  <c r="G13" i="15"/>
  <c r="H13" i="15"/>
  <c r="I13" i="15"/>
  <c r="F13" i="15"/>
  <c r="G12" i="15"/>
  <c r="H12" i="15"/>
  <c r="I12" i="15"/>
  <c r="F12" i="15"/>
  <c r="G11" i="15"/>
  <c r="H11" i="15"/>
  <c r="I11" i="15"/>
  <c r="G7" i="15"/>
  <c r="H7" i="15"/>
  <c r="I7" i="15"/>
  <c r="F7" i="15"/>
  <c r="H10" i="15"/>
  <c r="G4" i="15"/>
  <c r="H4" i="15"/>
  <c r="I4" i="15"/>
  <c r="G6" i="15"/>
  <c r="H6" i="15"/>
  <c r="G8" i="15"/>
  <c r="H8" i="15"/>
  <c r="I8" i="15"/>
  <c r="G9" i="15"/>
  <c r="H9" i="15"/>
  <c r="I9" i="15"/>
  <c r="G10" i="15"/>
  <c r="I10" i="15"/>
  <c r="F10" i="15"/>
  <c r="F9" i="15"/>
  <c r="F8" i="15"/>
  <c r="F6" i="15"/>
  <c r="F4" i="15"/>
  <c r="G3" i="15"/>
  <c r="H3" i="15"/>
  <c r="I3" i="15"/>
  <c r="F3" i="15"/>
  <c r="E44" i="14"/>
  <c r="F44" i="14" s="1"/>
  <c r="G44" i="14" s="1"/>
  <c r="H44" i="14" s="1"/>
  <c r="I44" i="14" s="1"/>
  <c r="J44" i="14" s="1"/>
  <c r="E38" i="14"/>
  <c r="E31" i="14"/>
  <c r="E30" i="14"/>
  <c r="E75" i="14" s="1"/>
  <c r="E29" i="14"/>
  <c r="F29" i="14" s="1"/>
  <c r="G29" i="14" s="1"/>
  <c r="H29" i="14" s="1"/>
  <c r="I29" i="14" s="1"/>
  <c r="J29" i="14" s="1"/>
  <c r="J74" i="14" s="1"/>
  <c r="D43" i="1"/>
  <c r="E43" i="1"/>
  <c r="F43" i="1"/>
  <c r="G43" i="1"/>
  <c r="C43" i="1"/>
  <c r="F141" i="14" l="1"/>
  <c r="G142" i="14"/>
  <c r="F133" i="14"/>
  <c r="G134" i="14"/>
  <c r="H151" i="14"/>
  <c r="G136" i="14"/>
  <c r="F135" i="14"/>
  <c r="F131" i="14"/>
  <c r="G132" i="14"/>
  <c r="F24" i="14"/>
  <c r="F152" i="14"/>
  <c r="G152" i="14" s="1"/>
  <c r="H152" i="14" s="1"/>
  <c r="I152" i="14" s="1"/>
  <c r="J152" i="14" s="1"/>
  <c r="J145" i="14"/>
  <c r="J6" i="20" s="1"/>
  <c r="F144" i="14"/>
  <c r="F145" i="14"/>
  <c r="F6" i="20" s="1"/>
  <c r="E51" i="16"/>
  <c r="E39" i="16"/>
  <c r="E43" i="16"/>
  <c r="E46" i="16"/>
  <c r="E42" i="16"/>
  <c r="E45" i="16"/>
  <c r="E41" i="16"/>
  <c r="E44" i="16"/>
  <c r="F48" i="19"/>
  <c r="E43" i="19"/>
  <c r="F51" i="19"/>
  <c r="G48" i="19"/>
  <c r="H48" i="19" s="1"/>
  <c r="I48" i="19" s="1"/>
  <c r="J48" i="19" s="1"/>
  <c r="F52" i="19"/>
  <c r="G52" i="19" s="1"/>
  <c r="G53" i="19"/>
  <c r="F56" i="18"/>
  <c r="F72" i="18"/>
  <c r="G54" i="18"/>
  <c r="G40" i="18"/>
  <c r="G70" i="18"/>
  <c r="G24" i="18"/>
  <c r="G38" i="18"/>
  <c r="F28" i="18"/>
  <c r="F42" i="18"/>
  <c r="G52" i="18"/>
  <c r="G68" i="18"/>
  <c r="G53" i="18"/>
  <c r="G39" i="18"/>
  <c r="G25" i="18"/>
  <c r="G60" i="18"/>
  <c r="G32" i="18"/>
  <c r="G46" i="18"/>
  <c r="G69" i="18"/>
  <c r="F35" i="18"/>
  <c r="G31" i="18"/>
  <c r="G45" i="18"/>
  <c r="F49" i="18"/>
  <c r="F63" i="18"/>
  <c r="G59" i="18"/>
  <c r="G55" i="18"/>
  <c r="G27" i="18"/>
  <c r="G71" i="18"/>
  <c r="G62" i="18"/>
  <c r="G34" i="18"/>
  <c r="G48" i="18"/>
  <c r="G41" i="18"/>
  <c r="C5" i="18"/>
  <c r="C13" i="18" s="1"/>
  <c r="E6" i="18"/>
  <c r="E5" i="18" s="1"/>
  <c r="G26" i="18"/>
  <c r="G47" i="18"/>
  <c r="G33" i="18"/>
  <c r="G61" i="18"/>
  <c r="G116" i="14"/>
  <c r="H116" i="14" s="1"/>
  <c r="I116" i="14" s="1"/>
  <c r="J116" i="14" s="1"/>
  <c r="J81" i="14" s="1"/>
  <c r="J80" i="14" s="1"/>
  <c r="F81" i="14"/>
  <c r="F80" i="14" s="1"/>
  <c r="E91" i="14"/>
  <c r="G115" i="14"/>
  <c r="F114" i="14"/>
  <c r="E52" i="14"/>
  <c r="E87" i="14"/>
  <c r="E55" i="14"/>
  <c r="E32" i="14"/>
  <c r="F74" i="14"/>
  <c r="E77" i="14"/>
  <c r="H74" i="14"/>
  <c r="E74" i="14"/>
  <c r="G74" i="14"/>
  <c r="I74" i="14"/>
  <c r="I24" i="15"/>
  <c r="C8" i="25" l="1"/>
  <c r="D14" i="25"/>
  <c r="F14" i="25" s="1"/>
  <c r="G24" i="14"/>
  <c r="G68" i="14" s="1"/>
  <c r="F143" i="14"/>
  <c r="G144" i="14"/>
  <c r="G150" i="14"/>
  <c r="F34" i="20"/>
  <c r="W35" i="20" s="1"/>
  <c r="H132" i="14"/>
  <c r="G131" i="14"/>
  <c r="I151" i="14"/>
  <c r="H150" i="14"/>
  <c r="H134" i="14"/>
  <c r="G133" i="14"/>
  <c r="H142" i="14"/>
  <c r="G141" i="14"/>
  <c r="F150" i="14"/>
  <c r="F140" i="14" s="1"/>
  <c r="H136" i="14"/>
  <c r="G135" i="14"/>
  <c r="E47" i="16"/>
  <c r="E55" i="16" s="1"/>
  <c r="I81" i="14"/>
  <c r="H81" i="14"/>
  <c r="H80" i="14" s="1"/>
  <c r="G81" i="14"/>
  <c r="G80" i="14" s="1"/>
  <c r="E51" i="19"/>
  <c r="G51" i="19" s="1"/>
  <c r="G54" i="19" s="1"/>
  <c r="F54" i="19"/>
  <c r="E44" i="19"/>
  <c r="G72" i="18"/>
  <c r="D84" i="18" s="1"/>
  <c r="G63" i="18"/>
  <c r="C82" i="18" s="1"/>
  <c r="G56" i="18"/>
  <c r="C81" i="18" s="1"/>
  <c r="G49" i="18"/>
  <c r="C80" i="18" s="1"/>
  <c r="G42" i="18"/>
  <c r="G35" i="18"/>
  <c r="G28" i="18"/>
  <c r="E13" i="18"/>
  <c r="I6" i="18" s="1"/>
  <c r="I13" i="18"/>
  <c r="I80" i="14"/>
  <c r="E94" i="14"/>
  <c r="H115" i="14"/>
  <c r="G114" i="14"/>
  <c r="I136" i="14" l="1"/>
  <c r="H135" i="14"/>
  <c r="I142" i="14"/>
  <c r="H141" i="14"/>
  <c r="I150" i="14"/>
  <c r="J151" i="14"/>
  <c r="J150" i="14" s="1"/>
  <c r="I132" i="14"/>
  <c r="H131" i="14"/>
  <c r="G143" i="14"/>
  <c r="H24" i="14"/>
  <c r="H68" i="14" s="1"/>
  <c r="H144" i="14"/>
  <c r="G34" i="20"/>
  <c r="X35" i="20" s="1"/>
  <c r="G140" i="14"/>
  <c r="I134" i="14"/>
  <c r="H133" i="14"/>
  <c r="G55" i="19"/>
  <c r="F67" i="19" s="1"/>
  <c r="F44" i="19"/>
  <c r="F39" i="19"/>
  <c r="E66" i="19" s="1"/>
  <c r="G66" i="19" s="1"/>
  <c r="F40" i="19"/>
  <c r="F41" i="19"/>
  <c r="F42" i="19"/>
  <c r="F43" i="19"/>
  <c r="E67" i="19" s="1"/>
  <c r="D83" i="18"/>
  <c r="E85" i="18" s="1"/>
  <c r="E87" i="18" s="1"/>
  <c r="I115" i="14"/>
  <c r="H114" i="14"/>
  <c r="J142" i="14" l="1"/>
  <c r="J141" i="14" s="1"/>
  <c r="I141" i="14"/>
  <c r="J134" i="14"/>
  <c r="J133" i="14" s="1"/>
  <c r="I133" i="14"/>
  <c r="J132" i="14"/>
  <c r="J131" i="14" s="1"/>
  <c r="I131" i="14"/>
  <c r="J136" i="14"/>
  <c r="J135" i="14" s="1"/>
  <c r="I135" i="14"/>
  <c r="I144" i="14"/>
  <c r="H143" i="14"/>
  <c r="H140" i="14" s="1"/>
  <c r="I24" i="14"/>
  <c r="I68" i="14" s="1"/>
  <c r="H34" i="20"/>
  <c r="Y35" i="20" s="1"/>
  <c r="G67" i="19"/>
  <c r="G68" i="19"/>
  <c r="J115" i="14"/>
  <c r="J114" i="14" s="1"/>
  <c r="I114" i="14"/>
  <c r="I34" i="20" l="1"/>
  <c r="Z35" i="20" s="1"/>
  <c r="J144" i="14"/>
  <c r="J143" i="14" s="1"/>
  <c r="I143" i="14"/>
  <c r="I140" i="14" s="1"/>
  <c r="J24" i="14"/>
  <c r="J68" i="14" s="1"/>
  <c r="J34" i="20"/>
  <c r="AA35" i="20" s="1"/>
  <c r="J140" i="14"/>
  <c r="E39" i="20"/>
  <c r="E52" i="20"/>
  <c r="V55" i="20" s="1"/>
  <c r="F68" i="14"/>
  <c r="E24" i="14"/>
  <c r="E68" i="14" s="1"/>
  <c r="F200" i="11"/>
  <c r="G200" i="11"/>
  <c r="H200" i="11"/>
  <c r="I200" i="11"/>
  <c r="J200" i="11" s="1"/>
  <c r="K200" i="11" s="1"/>
  <c r="L200" i="11" s="1"/>
  <c r="M200" i="11" s="1"/>
  <c r="N200" i="11" s="1"/>
  <c r="E200" i="11"/>
  <c r="K193" i="11"/>
  <c r="L193" i="11"/>
  <c r="M193" i="11" s="1"/>
  <c r="N193" i="11" s="1"/>
  <c r="J193" i="11"/>
  <c r="F193" i="11"/>
  <c r="G193" i="11"/>
  <c r="H193" i="11"/>
  <c r="I193" i="11"/>
  <c r="E193" i="11"/>
  <c r="E182" i="11"/>
  <c r="F182" i="11"/>
  <c r="G182" i="11" s="1"/>
  <c r="H182" i="11" s="1"/>
  <c r="I182" i="11" s="1"/>
  <c r="J182" i="11" s="1"/>
  <c r="E186" i="11"/>
  <c r="E184" i="11"/>
  <c r="G180" i="11"/>
  <c r="H180" i="11"/>
  <c r="I180" i="11" s="1"/>
  <c r="J180" i="11" s="1"/>
  <c r="F180" i="11"/>
  <c r="E180" i="11"/>
  <c r="G177" i="11"/>
  <c r="H177" i="11"/>
  <c r="J177" i="11"/>
  <c r="G176" i="11"/>
  <c r="H176" i="11"/>
  <c r="G175" i="11"/>
  <c r="H175" i="11"/>
  <c r="I175" i="11"/>
  <c r="J175" i="11"/>
  <c r="F175" i="11"/>
  <c r="G174" i="11"/>
  <c r="H174" i="11" s="1"/>
  <c r="I174" i="11" s="1"/>
  <c r="F174" i="11"/>
  <c r="E178" i="11"/>
  <c r="E172" i="11"/>
  <c r="E163" i="11"/>
  <c r="F166" i="11"/>
  <c r="G162" i="11"/>
  <c r="H162" i="11"/>
  <c r="I162" i="11" s="1"/>
  <c r="J162" i="11" s="1"/>
  <c r="E162" i="11"/>
  <c r="E168" i="11"/>
  <c r="E160" i="11"/>
  <c r="F157" i="11"/>
  <c r="F156" i="11"/>
  <c r="G157" i="11" s="1"/>
  <c r="G138" i="11"/>
  <c r="E131" i="11"/>
  <c r="E18" i="14"/>
  <c r="E17" i="14"/>
  <c r="E16" i="14"/>
  <c r="E14" i="14"/>
  <c r="E13" i="14"/>
  <c r="E12" i="14"/>
  <c r="E36" i="14"/>
  <c r="F36" i="14" s="1"/>
  <c r="G36" i="14" s="1"/>
  <c r="H36" i="14" s="1"/>
  <c r="I36" i="14" s="1"/>
  <c r="J36" i="14" s="1"/>
  <c r="E28" i="14"/>
  <c r="F28" i="14" s="1"/>
  <c r="G28" i="14" s="1"/>
  <c r="H28" i="14" s="1"/>
  <c r="I28" i="14" s="1"/>
  <c r="J28" i="14" s="1"/>
  <c r="E23" i="14"/>
  <c r="F23" i="14" s="1"/>
  <c r="G23" i="14" s="1"/>
  <c r="H23" i="14" s="1"/>
  <c r="I23" i="14" s="1"/>
  <c r="J23" i="14" s="1"/>
  <c r="E11" i="14"/>
  <c r="F11" i="14" s="1"/>
  <c r="G11" i="14" s="1"/>
  <c r="E154" i="11"/>
  <c r="E153" i="11"/>
  <c r="E159" i="11" s="1"/>
  <c r="G151" i="11"/>
  <c r="H151" i="11" s="1"/>
  <c r="I151" i="11" s="1"/>
  <c r="J151" i="11" s="1"/>
  <c r="F151" i="11"/>
  <c r="E151" i="11"/>
  <c r="G111" i="11"/>
  <c r="H111" i="11"/>
  <c r="I111" i="11"/>
  <c r="F111" i="11"/>
  <c r="F110" i="11"/>
  <c r="G110" i="11"/>
  <c r="H110" i="11"/>
  <c r="I110" i="11"/>
  <c r="I109" i="11"/>
  <c r="E171" i="11" s="1"/>
  <c r="F108" i="11"/>
  <c r="G108" i="11"/>
  <c r="H108" i="11"/>
  <c r="I108" i="11"/>
  <c r="E108" i="11"/>
  <c r="G104" i="11"/>
  <c r="G105" i="11" s="1"/>
  <c r="H104" i="11"/>
  <c r="H105" i="11" s="1"/>
  <c r="I104" i="11"/>
  <c r="I105" i="11" s="1"/>
  <c r="F104" i="11"/>
  <c r="F105" i="11" s="1"/>
  <c r="F102" i="11"/>
  <c r="G102" i="11"/>
  <c r="H102" i="11"/>
  <c r="I102" i="11"/>
  <c r="E102" i="11"/>
  <c r="G98" i="11"/>
  <c r="H98" i="11"/>
  <c r="I98" i="11"/>
  <c r="I99" i="11" s="1"/>
  <c r="F98" i="11"/>
  <c r="F96" i="11"/>
  <c r="G96" i="11"/>
  <c r="H96" i="11"/>
  <c r="H97" i="11" s="1"/>
  <c r="I96" i="11"/>
  <c r="E96" i="11"/>
  <c r="F94" i="11"/>
  <c r="G94" i="11"/>
  <c r="H94" i="11"/>
  <c r="I94" i="11"/>
  <c r="E94" i="11"/>
  <c r="F72" i="11"/>
  <c r="F74" i="11" s="1"/>
  <c r="F73" i="11" s="1"/>
  <c r="F80" i="11" s="1"/>
  <c r="H72" i="11"/>
  <c r="H74" i="11" s="1"/>
  <c r="H73" i="11" s="1"/>
  <c r="H80" i="11" s="1"/>
  <c r="H84" i="11" s="1"/>
  <c r="E72" i="11"/>
  <c r="E74" i="11" s="1"/>
  <c r="F71" i="11"/>
  <c r="G71" i="11"/>
  <c r="G72" i="11" s="1"/>
  <c r="G74" i="11" s="1"/>
  <c r="G73" i="11" s="1"/>
  <c r="G80" i="11" s="1"/>
  <c r="G84" i="11" s="1"/>
  <c r="H71" i="11"/>
  <c r="I71" i="11"/>
  <c r="I72" i="11" s="1"/>
  <c r="E71" i="11"/>
  <c r="F78" i="11"/>
  <c r="G78" i="11"/>
  <c r="H78" i="11"/>
  <c r="I78" i="11"/>
  <c r="F79" i="11"/>
  <c r="G79" i="11"/>
  <c r="H79" i="11"/>
  <c r="I79" i="11"/>
  <c r="F81" i="11"/>
  <c r="G81" i="11"/>
  <c r="H81" i="11"/>
  <c r="I81" i="11"/>
  <c r="M81" i="11" s="1"/>
  <c r="F82" i="11"/>
  <c r="G82" i="11"/>
  <c r="H82" i="11"/>
  <c r="I82" i="11"/>
  <c r="F83" i="11"/>
  <c r="G83" i="11"/>
  <c r="H83" i="11"/>
  <c r="I83" i="11"/>
  <c r="K83" i="11" s="1"/>
  <c r="E83" i="11"/>
  <c r="E82" i="11"/>
  <c r="E81" i="11"/>
  <c r="E79" i="11"/>
  <c r="F77" i="11"/>
  <c r="C92" i="11" s="1"/>
  <c r="G77" i="11"/>
  <c r="H77" i="11"/>
  <c r="I77" i="11"/>
  <c r="J77" i="11" s="1"/>
  <c r="K77" i="11" s="1"/>
  <c r="L77" i="11" s="1"/>
  <c r="M77" i="11" s="1"/>
  <c r="N77" i="11" s="1"/>
  <c r="E117" i="11" s="1"/>
  <c r="E77" i="11"/>
  <c r="F57" i="11"/>
  <c r="G57" i="11"/>
  <c r="H57" i="11"/>
  <c r="I57" i="11"/>
  <c r="J57" i="11" s="1"/>
  <c r="K57" i="11" s="1"/>
  <c r="L57" i="11" s="1"/>
  <c r="M57" i="11" s="1"/>
  <c r="N57" i="11" s="1"/>
  <c r="E57" i="11"/>
  <c r="F28" i="11"/>
  <c r="G28" i="11"/>
  <c r="H28" i="11"/>
  <c r="I28" i="11"/>
  <c r="J28" i="11" s="1"/>
  <c r="K28" i="11" s="1"/>
  <c r="L28" i="11" s="1"/>
  <c r="M28" i="11" s="1"/>
  <c r="N28" i="11" s="1"/>
  <c r="E28" i="11"/>
  <c r="F21" i="11"/>
  <c r="F41" i="11" s="1"/>
  <c r="G21" i="11"/>
  <c r="H21" i="11"/>
  <c r="I21" i="11"/>
  <c r="I41" i="11" s="1"/>
  <c r="F23" i="11"/>
  <c r="G23" i="11"/>
  <c r="H23" i="11"/>
  <c r="I23" i="11"/>
  <c r="F24" i="11"/>
  <c r="G24" i="11"/>
  <c r="H24" i="11"/>
  <c r="I24" i="11"/>
  <c r="F25" i="11"/>
  <c r="G25" i="11"/>
  <c r="H25" i="11"/>
  <c r="I25" i="11"/>
  <c r="F26" i="11"/>
  <c r="G26" i="11"/>
  <c r="H26" i="11"/>
  <c r="I26" i="11"/>
  <c r="E26" i="11"/>
  <c r="E25" i="11"/>
  <c r="E24" i="11"/>
  <c r="E23" i="11"/>
  <c r="E21" i="11"/>
  <c r="F20" i="11"/>
  <c r="F37" i="11" s="1"/>
  <c r="G20" i="11"/>
  <c r="G37" i="11" s="1"/>
  <c r="H20" i="11"/>
  <c r="H37" i="11" s="1"/>
  <c r="I20" i="11"/>
  <c r="I37" i="11" s="1"/>
  <c r="E20" i="11"/>
  <c r="F19" i="11"/>
  <c r="G19" i="11"/>
  <c r="H19" i="11"/>
  <c r="I19" i="11"/>
  <c r="J19" i="11" s="1"/>
  <c r="K19" i="11" s="1"/>
  <c r="L19" i="11" s="1"/>
  <c r="M19" i="11" s="1"/>
  <c r="N19" i="11" s="1"/>
  <c r="E19" i="11"/>
  <c r="I20" i="13"/>
  <c r="F15" i="11"/>
  <c r="G15" i="11"/>
  <c r="H15" i="11"/>
  <c r="I15" i="11"/>
  <c r="J15" i="11" s="1"/>
  <c r="K15" i="11" s="1"/>
  <c r="L15" i="11" s="1"/>
  <c r="M15" i="11" s="1"/>
  <c r="N15" i="11" s="1"/>
  <c r="E15" i="11"/>
  <c r="F10" i="11"/>
  <c r="G10" i="11"/>
  <c r="H10" i="11"/>
  <c r="I10" i="11"/>
  <c r="J10" i="11" s="1"/>
  <c r="K10" i="11" s="1"/>
  <c r="L10" i="11" s="1"/>
  <c r="M10" i="11" s="1"/>
  <c r="N10" i="11" s="1"/>
  <c r="E10" i="11"/>
  <c r="F153" i="11" l="1"/>
  <c r="F159" i="11" s="1"/>
  <c r="F154" i="11"/>
  <c r="W55" i="20"/>
  <c r="Y55" i="20"/>
  <c r="Z55" i="20"/>
  <c r="E183" i="14"/>
  <c r="E185" i="14"/>
  <c r="D16" i="25"/>
  <c r="E16" i="25" s="1"/>
  <c r="F16" i="25" s="1"/>
  <c r="E184" i="14"/>
  <c r="G52" i="20"/>
  <c r="H52" i="20"/>
  <c r="I52" i="20"/>
  <c r="E14" i="22"/>
  <c r="E26" i="22" s="1"/>
  <c r="C4" i="22"/>
  <c r="H39" i="20"/>
  <c r="Y42" i="20" s="1"/>
  <c r="W42" i="20"/>
  <c r="J39" i="20"/>
  <c r="AA42" i="20" s="1"/>
  <c r="I39" i="20"/>
  <c r="Z42" i="20" s="1"/>
  <c r="G39" i="20"/>
  <c r="X42" i="20" s="1"/>
  <c r="E177" i="11"/>
  <c r="E183" i="11" s="1"/>
  <c r="F171" i="11"/>
  <c r="F176" i="11" s="1"/>
  <c r="F178" i="11" s="1"/>
  <c r="I112" i="11"/>
  <c r="E185" i="11" s="1"/>
  <c r="F162" i="11"/>
  <c r="F163" i="11" s="1"/>
  <c r="E169" i="11"/>
  <c r="G156" i="11"/>
  <c r="H11" i="14"/>
  <c r="I11" i="14" s="1"/>
  <c r="J11" i="14" s="1"/>
  <c r="G97" i="11"/>
  <c r="G99" i="11" s="1"/>
  <c r="H109" i="11"/>
  <c r="H112" i="11" s="1"/>
  <c r="H99" i="11"/>
  <c r="I73" i="11"/>
  <c r="I80" i="11" s="1"/>
  <c r="I84" i="11" s="1"/>
  <c r="I74" i="11"/>
  <c r="E73" i="11"/>
  <c r="E80" i="11" s="1"/>
  <c r="J74" i="11"/>
  <c r="F84" i="11"/>
  <c r="J81" i="11"/>
  <c r="K81" i="11"/>
  <c r="M83" i="11"/>
  <c r="N81" i="11"/>
  <c r="L83" i="11"/>
  <c r="C117" i="11"/>
  <c r="L81" i="11"/>
  <c r="N83" i="11"/>
  <c r="J83" i="11"/>
  <c r="E92" i="11"/>
  <c r="H38" i="11"/>
  <c r="G38" i="11"/>
  <c r="I38" i="11"/>
  <c r="E37" i="11"/>
  <c r="F39" i="11" s="1"/>
  <c r="H41" i="11"/>
  <c r="E41" i="11"/>
  <c r="F42" i="11" s="1"/>
  <c r="G41" i="11"/>
  <c r="G42" i="11" s="1"/>
  <c r="F158" i="11" l="1"/>
  <c r="F160" i="11" s="1"/>
  <c r="F109" i="14" s="1"/>
  <c r="F108" i="14" s="1"/>
  <c r="F107" i="14" s="1"/>
  <c r="F177" i="11"/>
  <c r="F183" i="11" s="1"/>
  <c r="F16" i="14" s="1"/>
  <c r="F33" i="20" s="1"/>
  <c r="F172" i="11"/>
  <c r="G172" i="11" s="1"/>
  <c r="H172" i="11" s="1"/>
  <c r="I171" i="11" s="1"/>
  <c r="G178" i="11"/>
  <c r="F113" i="14"/>
  <c r="F110" i="14" s="1"/>
  <c r="G153" i="11"/>
  <c r="G154" i="11"/>
  <c r="I14" i="22"/>
  <c r="I26" i="22"/>
  <c r="H26" i="22"/>
  <c r="G26" i="22"/>
  <c r="J14" i="22"/>
  <c r="F11" i="22"/>
  <c r="F14" i="22"/>
  <c r="G14" i="22"/>
  <c r="H14" i="22"/>
  <c r="F26" i="22"/>
  <c r="I172" i="11"/>
  <c r="J172" i="11" s="1"/>
  <c r="I177" i="11"/>
  <c r="I176" i="11"/>
  <c r="G163" i="11"/>
  <c r="F168" i="11"/>
  <c r="H156" i="11"/>
  <c r="H157" i="11"/>
  <c r="K74" i="11"/>
  <c r="F97" i="11"/>
  <c r="G109" i="11"/>
  <c r="G112" i="11" s="1"/>
  <c r="F38" i="11"/>
  <c r="F43" i="11"/>
  <c r="H42" i="11"/>
  <c r="I42" i="11"/>
  <c r="F53" i="14" l="1"/>
  <c r="F52" i="14" s="1"/>
  <c r="H153" i="11"/>
  <c r="H159" i="11" s="1"/>
  <c r="I178" i="11"/>
  <c r="I113" i="14" s="1"/>
  <c r="I110" i="14" s="1"/>
  <c r="G159" i="11"/>
  <c r="G158" i="11"/>
  <c r="G160" i="11" s="1"/>
  <c r="H178" i="11"/>
  <c r="H113" i="14" s="1"/>
  <c r="H110" i="14" s="1"/>
  <c r="G113" i="14"/>
  <c r="G110" i="14" s="1"/>
  <c r="W34" i="20"/>
  <c r="H163" i="11"/>
  <c r="I156" i="11"/>
  <c r="I157" i="11"/>
  <c r="F99" i="11"/>
  <c r="F109" i="11"/>
  <c r="F112" i="11" s="1"/>
  <c r="L74" i="11"/>
  <c r="H158" i="11" l="1"/>
  <c r="G109" i="14"/>
  <c r="G108" i="14" s="1"/>
  <c r="G107" i="14" s="1"/>
  <c r="H160" i="11"/>
  <c r="H154" i="11"/>
  <c r="I163" i="11"/>
  <c r="J157" i="11"/>
  <c r="M74" i="11"/>
  <c r="N74" i="11" s="1"/>
  <c r="I153" i="11" l="1"/>
  <c r="I154" i="11" s="1"/>
  <c r="H109" i="14"/>
  <c r="H108" i="14" s="1"/>
  <c r="H107" i="14" s="1"/>
  <c r="J163" i="11"/>
  <c r="K163" i="11" s="1"/>
  <c r="J153" i="11" l="1"/>
  <c r="J159" i="11" s="1"/>
  <c r="I159" i="11"/>
  <c r="I158" i="11"/>
  <c r="I160" i="11" s="1"/>
  <c r="I109" i="14" s="1"/>
  <c r="I108" i="14" s="1"/>
  <c r="I107" i="14" s="1"/>
  <c r="F6" i="11"/>
  <c r="G6" i="11"/>
  <c r="H6" i="11"/>
  <c r="I6" i="11"/>
  <c r="E6" i="11"/>
  <c r="F3" i="11"/>
  <c r="G3" i="11"/>
  <c r="H3" i="11"/>
  <c r="I3" i="11"/>
  <c r="J3" i="11" s="1"/>
  <c r="K3" i="11" s="1"/>
  <c r="L3" i="11" s="1"/>
  <c r="M3" i="11" s="1"/>
  <c r="N3" i="11" s="1"/>
  <c r="E3" i="11"/>
  <c r="G22" i="13"/>
  <c r="H22" i="13"/>
  <c r="I22" i="13"/>
  <c r="J22" i="13"/>
  <c r="F22" i="13"/>
  <c r="G21" i="13"/>
  <c r="H21" i="13"/>
  <c r="I21" i="13"/>
  <c r="J21" i="13"/>
  <c r="F21" i="13"/>
  <c r="G20" i="13"/>
  <c r="H20" i="13"/>
  <c r="J20" i="13"/>
  <c r="F20" i="13"/>
  <c r="G6" i="13"/>
  <c r="H6" i="13"/>
  <c r="I6" i="13"/>
  <c r="J6" i="13"/>
  <c r="G7" i="13"/>
  <c r="H7" i="13"/>
  <c r="I7" i="13"/>
  <c r="J7" i="13"/>
  <c r="G8" i="13"/>
  <c r="H8" i="13"/>
  <c r="I8" i="13"/>
  <c r="J8" i="13"/>
  <c r="G9" i="13"/>
  <c r="H9" i="13"/>
  <c r="I9" i="13"/>
  <c r="J9" i="13"/>
  <c r="G10" i="13"/>
  <c r="H10" i="13"/>
  <c r="I10" i="13"/>
  <c r="J10" i="13"/>
  <c r="G11" i="13"/>
  <c r="H11" i="13"/>
  <c r="I11" i="13"/>
  <c r="J11" i="13"/>
  <c r="G12" i="13"/>
  <c r="H12" i="13"/>
  <c r="I12" i="13"/>
  <c r="J12" i="13"/>
  <c r="J13" i="13" s="1"/>
  <c r="J14" i="13" s="1"/>
  <c r="G13" i="13"/>
  <c r="G14" i="13" s="1"/>
  <c r="G15" i="13" s="1"/>
  <c r="H13" i="13"/>
  <c r="H14" i="13" s="1"/>
  <c r="H15" i="13" s="1"/>
  <c r="I13" i="13"/>
  <c r="I14" i="13" s="1"/>
  <c r="I15" i="13" s="1"/>
  <c r="F11" i="13"/>
  <c r="F12" i="13" s="1"/>
  <c r="F13" i="13" s="1"/>
  <c r="F14" i="13" s="1"/>
  <c r="F10" i="13"/>
  <c r="F9" i="13"/>
  <c r="F8" i="13"/>
  <c r="F7" i="13"/>
  <c r="G4" i="13"/>
  <c r="H4" i="13"/>
  <c r="I4" i="13"/>
  <c r="J4" i="13"/>
  <c r="G3" i="13"/>
  <c r="G5" i="13" s="1"/>
  <c r="H3" i="13"/>
  <c r="I3" i="13"/>
  <c r="J3" i="13"/>
  <c r="J5" i="13" s="1"/>
  <c r="F3" i="13"/>
  <c r="G2" i="13"/>
  <c r="H2" i="13"/>
  <c r="I2" i="13"/>
  <c r="J2" i="13"/>
  <c r="F2" i="13"/>
  <c r="C20" i="1"/>
  <c r="D20" i="1"/>
  <c r="E20" i="1"/>
  <c r="F20" i="1"/>
  <c r="G20" i="1"/>
  <c r="J154" i="11" l="1"/>
  <c r="H5" i="13"/>
  <c r="H16" i="13" s="1"/>
  <c r="G201" i="11" s="1"/>
  <c r="H202" i="11" s="1"/>
  <c r="I5" i="13"/>
  <c r="G16" i="13"/>
  <c r="F201" i="11" s="1"/>
  <c r="G202" i="11" s="1"/>
  <c r="I16" i="13"/>
  <c r="H201" i="11" s="1"/>
  <c r="G68" i="11"/>
  <c r="G67" i="11"/>
  <c r="G59" i="11"/>
  <c r="G64" i="11"/>
  <c r="G60" i="11"/>
  <c r="G66" i="11"/>
  <c r="G65" i="11"/>
  <c r="G62" i="11"/>
  <c r="G58" i="11"/>
  <c r="E66" i="11"/>
  <c r="E67" i="11"/>
  <c r="E59" i="11"/>
  <c r="E65" i="11"/>
  <c r="E68" i="11"/>
  <c r="E60" i="11"/>
  <c r="E64" i="11"/>
  <c r="E62" i="11"/>
  <c r="F66" i="11"/>
  <c r="G92" i="11"/>
  <c r="F68" i="11"/>
  <c r="F67" i="11"/>
  <c r="F59" i="11"/>
  <c r="F65" i="11"/>
  <c r="F62" i="11"/>
  <c r="F58" i="11"/>
  <c r="F60" i="11"/>
  <c r="F64" i="11"/>
  <c r="I65" i="11"/>
  <c r="I66" i="11"/>
  <c r="I60" i="11"/>
  <c r="I68" i="11"/>
  <c r="I67" i="11"/>
  <c r="I59" i="11"/>
  <c r="I62" i="11"/>
  <c r="I64" i="11"/>
  <c r="I58" i="11"/>
  <c r="H60" i="11"/>
  <c r="H65" i="11"/>
  <c r="H62" i="11"/>
  <c r="H58" i="11"/>
  <c r="H68" i="11"/>
  <c r="H67" i="11"/>
  <c r="H59" i="11"/>
  <c r="H66" i="11"/>
  <c r="H64" i="11"/>
  <c r="H4" i="11"/>
  <c r="H35" i="11"/>
  <c r="H30" i="11"/>
  <c r="H29" i="11"/>
  <c r="H34" i="11"/>
  <c r="H32" i="11"/>
  <c r="H33" i="11"/>
  <c r="G29" i="11"/>
  <c r="G33" i="11"/>
  <c r="G30" i="11"/>
  <c r="G32" i="11"/>
  <c r="G34" i="11"/>
  <c r="G35" i="11"/>
  <c r="E32" i="11"/>
  <c r="E30" i="11"/>
  <c r="E33" i="11"/>
  <c r="E29" i="11"/>
  <c r="E34" i="11"/>
  <c r="E35" i="11"/>
  <c r="F4" i="11"/>
  <c r="F29" i="11"/>
  <c r="F34" i="11"/>
  <c r="F32" i="11"/>
  <c r="F33" i="11"/>
  <c r="F30" i="11"/>
  <c r="F35" i="11"/>
  <c r="F5" i="11"/>
  <c r="I32" i="11"/>
  <c r="I29" i="11"/>
  <c r="I30" i="11"/>
  <c r="I35" i="11"/>
  <c r="I33" i="11"/>
  <c r="I34" i="11"/>
  <c r="G4" i="11"/>
  <c r="I4" i="11"/>
  <c r="J15" i="13"/>
  <c r="J16" i="13" s="1"/>
  <c r="I201" i="11" s="1"/>
  <c r="I202" i="11" l="1"/>
  <c r="D19" i="25"/>
  <c r="E19" i="25" s="1"/>
  <c r="F19" i="25" s="1"/>
  <c r="J62" i="11"/>
  <c r="K62" i="11" s="1"/>
  <c r="L62" i="11" s="1"/>
  <c r="E106" i="11"/>
  <c r="E122" i="11" s="1"/>
  <c r="E113" i="11"/>
  <c r="E123" i="11" s="1"/>
  <c r="E100" i="11"/>
  <c r="E121" i="11" s="1"/>
  <c r="J60" i="11"/>
  <c r="J59" i="11"/>
  <c r="F119" i="14" s="1"/>
  <c r="F118" i="14" s="1"/>
  <c r="J68" i="11"/>
  <c r="K68" i="11" s="1"/>
  <c r="L68" i="11" s="1"/>
  <c r="J67" i="11"/>
  <c r="K67" i="11" s="1"/>
  <c r="J66" i="11"/>
  <c r="K66" i="11" s="1"/>
  <c r="L66" i="11" s="1"/>
  <c r="M66" i="11" s="1"/>
  <c r="J65" i="11"/>
  <c r="J35" i="11"/>
  <c r="K35" i="11" s="1"/>
  <c r="J34" i="11"/>
  <c r="K34" i="11" s="1"/>
  <c r="J30" i="11"/>
  <c r="J29" i="11"/>
  <c r="K29" i="11" s="1"/>
  <c r="J32" i="11"/>
  <c r="K32" i="11" s="1"/>
  <c r="J33" i="11"/>
  <c r="K33" i="11" s="1"/>
  <c r="J4" i="11"/>
  <c r="J6" i="11" s="1"/>
  <c r="J64" i="11" l="1"/>
  <c r="J58" i="11"/>
  <c r="J78" i="11"/>
  <c r="F58" i="14" s="1"/>
  <c r="F55" i="14" s="1"/>
  <c r="J82" i="11"/>
  <c r="J73" i="11" s="1"/>
  <c r="J80" i="11" s="1"/>
  <c r="J202" i="11"/>
  <c r="F12" i="14"/>
  <c r="F184" i="14" s="1"/>
  <c r="N66" i="11"/>
  <c r="M68" i="11"/>
  <c r="N68" i="11" s="1"/>
  <c r="K60" i="11"/>
  <c r="M62" i="11"/>
  <c r="L67" i="11"/>
  <c r="K59" i="11"/>
  <c r="L60" i="11"/>
  <c r="M60" i="11" s="1"/>
  <c r="N60" i="11" s="1"/>
  <c r="E124" i="11"/>
  <c r="K65" i="11"/>
  <c r="K64" i="11" s="1"/>
  <c r="J79" i="11"/>
  <c r="J84" i="11" s="1"/>
  <c r="F14" i="20" s="1"/>
  <c r="L32" i="11"/>
  <c r="M32" i="11" s="1"/>
  <c r="J21" i="11"/>
  <c r="L34" i="11"/>
  <c r="M34" i="11" s="1"/>
  <c r="N34" i="11" s="1"/>
  <c r="J23" i="11"/>
  <c r="K30" i="11"/>
  <c r="J26" i="11"/>
  <c r="L33" i="11"/>
  <c r="M33" i="11" s="1"/>
  <c r="L29" i="11"/>
  <c r="M29" i="11" s="1"/>
  <c r="J25" i="11"/>
  <c r="F17" i="14" s="1"/>
  <c r="J24" i="11"/>
  <c r="J20" i="11"/>
  <c r="L35" i="11"/>
  <c r="K4" i="11"/>
  <c r="K6" i="11" s="1"/>
  <c r="F36" i="20" l="1"/>
  <c r="W37" i="20" s="1"/>
  <c r="K58" i="11"/>
  <c r="G119" i="14"/>
  <c r="G118" i="14" s="1"/>
  <c r="G12" i="14"/>
  <c r="G184" i="14" s="1"/>
  <c r="J37" i="11"/>
  <c r="J38" i="11" s="1"/>
  <c r="F13" i="14"/>
  <c r="J41" i="11"/>
  <c r="J42" i="11" s="1"/>
  <c r="F14" i="14"/>
  <c r="N32" i="11"/>
  <c r="L59" i="11"/>
  <c r="K82" i="11"/>
  <c r="K73" i="11" s="1"/>
  <c r="K80" i="11" s="1"/>
  <c r="K78" i="11"/>
  <c r="G58" i="14" s="1"/>
  <c r="G55" i="14" s="1"/>
  <c r="N62" i="11"/>
  <c r="K79" i="11"/>
  <c r="M67" i="11"/>
  <c r="N67" i="11" s="1"/>
  <c r="L65" i="11"/>
  <c r="N29" i="11"/>
  <c r="K26" i="11"/>
  <c r="K23" i="11"/>
  <c r="K25" i="11"/>
  <c r="G17" i="14" s="1"/>
  <c r="K24" i="11"/>
  <c r="M35" i="11"/>
  <c r="N35" i="11" s="1"/>
  <c r="K21" i="11"/>
  <c r="K20" i="11"/>
  <c r="L30" i="11"/>
  <c r="M30" i="11" s="1"/>
  <c r="N33" i="11"/>
  <c r="L4" i="11"/>
  <c r="L6" i="11" s="1"/>
  <c r="L58" i="11" l="1"/>
  <c r="H119" i="14"/>
  <c r="H118" i="14" s="1"/>
  <c r="F185" i="14"/>
  <c r="F183" i="14"/>
  <c r="K84" i="11"/>
  <c r="G14" i="20" s="1"/>
  <c r="K37" i="11"/>
  <c r="K38" i="11" s="1"/>
  <c r="G13" i="14"/>
  <c r="L79" i="11"/>
  <c r="H12" i="14"/>
  <c r="H184" i="14" s="1"/>
  <c r="K41" i="11"/>
  <c r="K42" i="11" s="1"/>
  <c r="G14" i="14"/>
  <c r="M59" i="11"/>
  <c r="I119" i="14" s="1"/>
  <c r="I118" i="14" s="1"/>
  <c r="L78" i="11"/>
  <c r="H58" i="14" s="1"/>
  <c r="H55" i="14" s="1"/>
  <c r="M65" i="11"/>
  <c r="L64" i="11"/>
  <c r="L82" i="11" s="1"/>
  <c r="L73" i="11" s="1"/>
  <c r="L80" i="11" s="1"/>
  <c r="M4" i="11"/>
  <c r="M6" i="11" s="1"/>
  <c r="N30" i="11"/>
  <c r="L25" i="11"/>
  <c r="H17" i="14" s="1"/>
  <c r="L21" i="11"/>
  <c r="L23" i="11"/>
  <c r="L24" i="11"/>
  <c r="L26" i="11"/>
  <c r="L20" i="11"/>
  <c r="G36" i="20" l="1"/>
  <c r="X37" i="20" s="1"/>
  <c r="G185" i="14"/>
  <c r="G183" i="14"/>
  <c r="N4" i="11"/>
  <c r="L84" i="11"/>
  <c r="H14" i="20" s="1"/>
  <c r="L37" i="11"/>
  <c r="L38" i="11" s="1"/>
  <c r="H13" i="14"/>
  <c r="M79" i="11"/>
  <c r="I12" i="14"/>
  <c r="I184" i="14" s="1"/>
  <c r="L41" i="11"/>
  <c r="L42" i="11" s="1"/>
  <c r="H14" i="14"/>
  <c r="N65" i="11"/>
  <c r="N64" i="11" s="1"/>
  <c r="M64" i="11"/>
  <c r="M82" i="11" s="1"/>
  <c r="M73" i="11" s="1"/>
  <c r="M80" i="11" s="1"/>
  <c r="M58" i="11"/>
  <c r="M78" i="11" s="1"/>
  <c r="I58" i="14" s="1"/>
  <c r="I55" i="14" s="1"/>
  <c r="N59" i="11"/>
  <c r="M23" i="11"/>
  <c r="M25" i="11"/>
  <c r="I17" i="14" s="1"/>
  <c r="M26" i="11"/>
  <c r="M21" i="11"/>
  <c r="M24" i="11"/>
  <c r="M20" i="11"/>
  <c r="N6" i="11"/>
  <c r="H36" i="20" l="1"/>
  <c r="Y37" i="20" s="1"/>
  <c r="N58" i="11"/>
  <c r="J119" i="14"/>
  <c r="J118" i="14" s="1"/>
  <c r="H185" i="14"/>
  <c r="H183" i="14"/>
  <c r="M41" i="11"/>
  <c r="M42" i="11" s="1"/>
  <c r="I14" i="14"/>
  <c r="J12" i="14"/>
  <c r="J184" i="14" s="1"/>
  <c r="M37" i="11"/>
  <c r="M38" i="11" s="1"/>
  <c r="I13" i="14"/>
  <c r="N78" i="11"/>
  <c r="J58" i="14" s="1"/>
  <c r="J55" i="14" s="1"/>
  <c r="M84" i="11"/>
  <c r="I14" i="20" s="1"/>
  <c r="N79" i="11"/>
  <c r="N84" i="11" s="1"/>
  <c r="J14" i="20" s="1"/>
  <c r="F117" i="11"/>
  <c r="N82" i="11"/>
  <c r="N73" i="11" s="1"/>
  <c r="N80" i="11" s="1"/>
  <c r="J5" i="11"/>
  <c r="N23" i="11"/>
  <c r="N20" i="11"/>
  <c r="N25" i="11"/>
  <c r="J17" i="14" s="1"/>
  <c r="N26" i="11"/>
  <c r="N24" i="11"/>
  <c r="N21" i="11"/>
  <c r="J36" i="20" l="1"/>
  <c r="AA37" i="20" s="1"/>
  <c r="I36" i="20"/>
  <c r="Z37" i="20" s="1"/>
  <c r="I185" i="14"/>
  <c r="I183" i="14"/>
  <c r="J85" i="11"/>
  <c r="N41" i="11"/>
  <c r="J14" i="14"/>
  <c r="N37" i="11"/>
  <c r="J39" i="11" s="1"/>
  <c r="J13" i="14"/>
  <c r="G131" i="11"/>
  <c r="G128" i="11"/>
  <c r="H142" i="11" s="1"/>
  <c r="G130" i="11"/>
  <c r="H144" i="11" s="1"/>
  <c r="J173" i="11" s="1"/>
  <c r="G129" i="11"/>
  <c r="H143" i="11" s="1"/>
  <c r="G123" i="11"/>
  <c r="G124" i="11"/>
  <c r="G122" i="11"/>
  <c r="G121" i="11"/>
  <c r="J43" i="11"/>
  <c r="N42" i="11"/>
  <c r="J183" i="14" l="1"/>
  <c r="J185" i="14"/>
  <c r="N38" i="11"/>
  <c r="K173" i="11"/>
  <c r="J176" i="11"/>
  <c r="J178" i="11" s="1"/>
  <c r="J113" i="14" s="1"/>
  <c r="J110" i="14" s="1"/>
  <c r="J174" i="11"/>
  <c r="H145" i="11"/>
  <c r="H146" i="11" s="1"/>
  <c r="J155" i="11"/>
  <c r="F164" i="11"/>
  <c r="I164" i="11"/>
  <c r="H164" i="11"/>
  <c r="G164" i="11"/>
  <c r="J164" i="11"/>
  <c r="F165" i="11" l="1"/>
  <c r="F185" i="11"/>
  <c r="F167" i="11"/>
  <c r="I185" i="11"/>
  <c r="G185" i="11"/>
  <c r="J185" i="11"/>
  <c r="K155" i="11"/>
  <c r="J156" i="11"/>
  <c r="J158" i="11"/>
  <c r="H185" i="11"/>
  <c r="F169" i="11" l="1"/>
  <c r="F184" i="11" s="1"/>
  <c r="F186" i="11"/>
  <c r="K185" i="11"/>
  <c r="J160" i="11"/>
  <c r="J109" i="14" s="1"/>
  <c r="J108" i="14" s="1"/>
  <c r="J107" i="14" s="1"/>
  <c r="G166" i="11"/>
  <c r="G165" i="11"/>
  <c r="J201" i="11" l="1"/>
  <c r="K202" i="11" s="1"/>
  <c r="F13" i="20"/>
  <c r="H166" i="11"/>
  <c r="H165" i="11"/>
  <c r="G168" i="11"/>
  <c r="G183" i="11" s="1"/>
  <c r="G16" i="14" s="1"/>
  <c r="G167" i="11"/>
  <c r="E58" i="1"/>
  <c r="C14" i="2"/>
  <c r="F35" i="20" l="1"/>
  <c r="W36" i="20" s="1"/>
  <c r="F15" i="20"/>
  <c r="F10" i="22" s="1"/>
  <c r="F19" i="15"/>
  <c r="F18" i="15" s="1"/>
  <c r="F22" i="15" s="1"/>
  <c r="F4" i="13"/>
  <c r="F5" i="13" s="1"/>
  <c r="G53" i="14"/>
  <c r="G52" i="14" s="1"/>
  <c r="G33" i="20"/>
  <c r="G169" i="11"/>
  <c r="G184" i="11" s="1"/>
  <c r="G186" i="11"/>
  <c r="I166" i="11"/>
  <c r="I165" i="11"/>
  <c r="H168" i="11"/>
  <c r="H183" i="11" s="1"/>
  <c r="H16" i="14" s="1"/>
  <c r="H167" i="11"/>
  <c r="K201" i="11" l="1"/>
  <c r="L202" i="11" s="1"/>
  <c r="G13" i="20"/>
  <c r="G15" i="20" s="1"/>
  <c r="G10" i="22" s="1"/>
  <c r="U10" i="22"/>
  <c r="G11" i="22"/>
  <c r="X34" i="20"/>
  <c r="H53" i="14"/>
  <c r="H52" i="14" s="1"/>
  <c r="H33" i="20"/>
  <c r="I168" i="11"/>
  <c r="I183" i="11" s="1"/>
  <c r="I16" i="14" s="1"/>
  <c r="I167" i="11"/>
  <c r="J166" i="11"/>
  <c r="J165" i="11"/>
  <c r="H169" i="11"/>
  <c r="H184" i="11" s="1"/>
  <c r="H186" i="11"/>
  <c r="G35" i="20" l="1"/>
  <c r="X36" i="20" s="1"/>
  <c r="L201" i="11"/>
  <c r="M202" i="11" s="1"/>
  <c r="H13" i="20"/>
  <c r="H15" i="20" s="1"/>
  <c r="H10" i="22" s="1"/>
  <c r="V10" i="22"/>
  <c r="H11" i="22"/>
  <c r="Y34" i="20"/>
  <c r="I53" i="14"/>
  <c r="I52" i="14" s="1"/>
  <c r="I33" i="20"/>
  <c r="J168" i="11"/>
  <c r="J183" i="11" s="1"/>
  <c r="J16" i="14" s="1"/>
  <c r="J167" i="11"/>
  <c r="I169" i="11"/>
  <c r="I184" i="11" s="1"/>
  <c r="I186" i="11"/>
  <c r="H35" i="20" l="1"/>
  <c r="Y36" i="20" s="1"/>
  <c r="M201" i="11"/>
  <c r="N202" i="11" s="1"/>
  <c r="I13" i="20"/>
  <c r="I15" i="20" s="1"/>
  <c r="I10" i="22" s="1"/>
  <c r="I11" i="22"/>
  <c r="W10" i="22"/>
  <c r="Z34" i="20"/>
  <c r="J53" i="14"/>
  <c r="J52" i="14" s="1"/>
  <c r="J33" i="20"/>
  <c r="J169" i="11"/>
  <c r="J184" i="11" s="1"/>
  <c r="J186" i="11"/>
  <c r="K186" i="11" s="1"/>
  <c r="X10" i="22" l="1"/>
  <c r="J11" i="22"/>
  <c r="N201" i="11"/>
  <c r="J13" i="20"/>
  <c r="J15" i="20" s="1"/>
  <c r="I35" i="20"/>
  <c r="Z36" i="20" s="1"/>
  <c r="J35" i="20"/>
  <c r="AA36" i="20" s="1"/>
  <c r="AA34" i="20"/>
  <c r="D65" i="1"/>
  <c r="E65" i="1"/>
  <c r="F65" i="1"/>
  <c r="G65" i="1"/>
  <c r="C65" i="1"/>
  <c r="D58" i="1"/>
  <c r="D61" i="1" s="1"/>
  <c r="E61" i="1"/>
  <c r="F58" i="1"/>
  <c r="F61" i="1" s="1"/>
  <c r="G58" i="1"/>
  <c r="J4" i="6" s="1"/>
  <c r="D52" i="1"/>
  <c r="G5" i="6" s="1"/>
  <c r="E52" i="1"/>
  <c r="H5" i="6" s="1"/>
  <c r="F52" i="1"/>
  <c r="I5" i="6" s="1"/>
  <c r="G52" i="1"/>
  <c r="J5" i="6" s="1"/>
  <c r="D34" i="1"/>
  <c r="D51" i="1" s="1"/>
  <c r="E34" i="1"/>
  <c r="E51" i="1" s="1"/>
  <c r="F34" i="1"/>
  <c r="F51" i="1" s="1"/>
  <c r="G34" i="1"/>
  <c r="G51" i="1" s="1"/>
  <c r="D23" i="1"/>
  <c r="E23" i="1"/>
  <c r="F23" i="1"/>
  <c r="G23" i="1"/>
  <c r="D13" i="1"/>
  <c r="F22" i="11" s="1"/>
  <c r="E13" i="1"/>
  <c r="G22" i="11" s="1"/>
  <c r="F13" i="1"/>
  <c r="H22" i="11" s="1"/>
  <c r="G13" i="1"/>
  <c r="D9" i="1"/>
  <c r="E9" i="1"/>
  <c r="F9" i="1"/>
  <c r="G9" i="1"/>
  <c r="D5" i="1"/>
  <c r="E5" i="1"/>
  <c r="F5" i="1"/>
  <c r="G5" i="1"/>
  <c r="D4" i="1"/>
  <c r="E4" i="1"/>
  <c r="F4" i="1"/>
  <c r="G4" i="1"/>
  <c r="G4" i="6"/>
  <c r="G7" i="6"/>
  <c r="H7" i="6"/>
  <c r="I7" i="6"/>
  <c r="J7" i="6"/>
  <c r="G9" i="6"/>
  <c r="H9" i="6"/>
  <c r="I9" i="6"/>
  <c r="J9" i="6"/>
  <c r="F9" i="6"/>
  <c r="F7" i="6"/>
  <c r="G2" i="6"/>
  <c r="H2" i="6"/>
  <c r="I2" i="6"/>
  <c r="J2" i="6"/>
  <c r="F2" i="6"/>
  <c r="J10" i="22" l="1"/>
  <c r="E48" i="20"/>
  <c r="F46" i="11"/>
  <c r="F31" i="11"/>
  <c r="F50" i="11"/>
  <c r="I22" i="11"/>
  <c r="E15" i="14"/>
  <c r="E19" i="14" s="1"/>
  <c r="H46" i="11"/>
  <c r="H31" i="11"/>
  <c r="H50" i="11"/>
  <c r="G46" i="11"/>
  <c r="G47" i="11" s="1"/>
  <c r="G31" i="11"/>
  <c r="G50" i="11"/>
  <c r="G61" i="1"/>
  <c r="H4" i="6"/>
  <c r="I4" i="6"/>
  <c r="G12" i="1"/>
  <c r="G31" i="1" s="1"/>
  <c r="F12" i="1"/>
  <c r="F31" i="1" s="1"/>
  <c r="D12" i="1"/>
  <c r="D31" i="1" s="1"/>
  <c r="E12" i="1"/>
  <c r="F48" i="20" l="1"/>
  <c r="V51" i="20"/>
  <c r="W51" i="20" s="1"/>
  <c r="X51" i="20" s="1"/>
  <c r="Y51" i="20" s="1"/>
  <c r="Z51" i="20" s="1"/>
  <c r="E22" i="22"/>
  <c r="Y10" i="22"/>
  <c r="E179" i="14"/>
  <c r="E175" i="14"/>
  <c r="E180" i="14"/>
  <c r="E37" i="14"/>
  <c r="E49" i="14"/>
  <c r="J19" i="13"/>
  <c r="J23" i="13" s="1"/>
  <c r="I11" i="11" s="1"/>
  <c r="H51" i="11"/>
  <c r="H194" i="11"/>
  <c r="H195" i="11" s="1"/>
  <c r="H203" i="11" s="1"/>
  <c r="G51" i="11"/>
  <c r="G194" i="11"/>
  <c r="G195" i="11" s="1"/>
  <c r="G203" i="11" s="1"/>
  <c r="F51" i="11"/>
  <c r="F194" i="11"/>
  <c r="F195" i="11" s="1"/>
  <c r="I46" i="11"/>
  <c r="I50" i="11"/>
  <c r="I31" i="11"/>
  <c r="G19" i="13"/>
  <c r="G23" i="13" s="1"/>
  <c r="F11" i="11" s="1"/>
  <c r="F16" i="11" s="1"/>
  <c r="H47" i="11"/>
  <c r="I19" i="13"/>
  <c r="I23" i="13" s="1"/>
  <c r="H11" i="11" s="1"/>
  <c r="H16" i="11" s="1"/>
  <c r="F55" i="1"/>
  <c r="G10" i="5" s="1"/>
  <c r="G55" i="1"/>
  <c r="H10" i="5" s="1"/>
  <c r="D64" i="1"/>
  <c r="E31" i="1"/>
  <c r="H19" i="13" s="1"/>
  <c r="H23" i="13" s="1"/>
  <c r="G11" i="11" s="1"/>
  <c r="G16" i="11" s="1"/>
  <c r="G64" i="1"/>
  <c r="F64" i="1"/>
  <c r="D55" i="1"/>
  <c r="D63" i="1" s="1"/>
  <c r="E100" i="5"/>
  <c r="F100" i="5"/>
  <c r="G100" i="5"/>
  <c r="H100" i="5"/>
  <c r="D100" i="5"/>
  <c r="E89" i="5"/>
  <c r="F89" i="5"/>
  <c r="G89" i="5"/>
  <c r="H89" i="5"/>
  <c r="E86" i="5"/>
  <c r="F86" i="5"/>
  <c r="G86" i="5"/>
  <c r="H86" i="5"/>
  <c r="D86" i="5"/>
  <c r="E75" i="5"/>
  <c r="F75" i="5"/>
  <c r="G75" i="5"/>
  <c r="H75" i="5"/>
  <c r="D75" i="5"/>
  <c r="E67" i="5"/>
  <c r="F67" i="5"/>
  <c r="G67" i="5"/>
  <c r="H67" i="5"/>
  <c r="D67" i="5"/>
  <c r="E54" i="5"/>
  <c r="F54" i="5"/>
  <c r="G54" i="5"/>
  <c r="H54" i="5"/>
  <c r="D54" i="5"/>
  <c r="E33" i="5"/>
  <c r="F33" i="5"/>
  <c r="G33" i="5"/>
  <c r="H33" i="5"/>
  <c r="E34" i="5"/>
  <c r="F34" i="5"/>
  <c r="G34" i="5"/>
  <c r="G73" i="5" s="1"/>
  <c r="H34" i="5"/>
  <c r="H73" i="5" s="1"/>
  <c r="E41" i="5"/>
  <c r="F41" i="5"/>
  <c r="G41" i="5"/>
  <c r="H41" i="5"/>
  <c r="D41" i="5"/>
  <c r="D33" i="5"/>
  <c r="E29" i="5"/>
  <c r="F29" i="5"/>
  <c r="G29" i="5"/>
  <c r="H29" i="5"/>
  <c r="D29" i="5"/>
  <c r="E14" i="5"/>
  <c r="F14" i="5"/>
  <c r="G14" i="5"/>
  <c r="H14" i="5"/>
  <c r="D14" i="5"/>
  <c r="E4" i="5"/>
  <c r="F4" i="5"/>
  <c r="G4" i="5"/>
  <c r="H4" i="5"/>
  <c r="D4" i="5"/>
  <c r="G109" i="4"/>
  <c r="F109" i="4"/>
  <c r="E109" i="4"/>
  <c r="D109" i="4"/>
  <c r="C109" i="4"/>
  <c r="D46" i="4"/>
  <c r="E46" i="4"/>
  <c r="F46" i="4"/>
  <c r="G46" i="4"/>
  <c r="C46" i="4"/>
  <c r="D45" i="4"/>
  <c r="E45" i="4"/>
  <c r="F45" i="4"/>
  <c r="G45" i="4"/>
  <c r="C45" i="4"/>
  <c r="G44" i="4"/>
  <c r="F44" i="4"/>
  <c r="E44" i="4"/>
  <c r="D44" i="4"/>
  <c r="C44" i="4"/>
  <c r="D10" i="4"/>
  <c r="E10" i="4"/>
  <c r="F10" i="4"/>
  <c r="G10" i="4"/>
  <c r="C10" i="4"/>
  <c r="E56" i="3"/>
  <c r="F56" i="3"/>
  <c r="G56" i="3"/>
  <c r="H56" i="3"/>
  <c r="D56" i="3"/>
  <c r="B41" i="3"/>
  <c r="B40" i="3"/>
  <c r="B39" i="3"/>
  <c r="B38" i="3"/>
  <c r="B37" i="3"/>
  <c r="B25" i="3"/>
  <c r="B24" i="3"/>
  <c r="B23" i="3"/>
  <c r="B22" i="3"/>
  <c r="B21" i="3"/>
  <c r="B10" i="3"/>
  <c r="B9" i="3"/>
  <c r="B8" i="3"/>
  <c r="B7" i="3"/>
  <c r="B6" i="3"/>
  <c r="E1" i="1"/>
  <c r="F1" i="1"/>
  <c r="G1" i="1"/>
  <c r="D1" i="1"/>
  <c r="C1" i="1"/>
  <c r="C58" i="1"/>
  <c r="F4" i="6" s="1"/>
  <c r="C52" i="1"/>
  <c r="F5" i="6" s="1"/>
  <c r="C34" i="1"/>
  <c r="C51" i="1" s="1"/>
  <c r="C23" i="1"/>
  <c r="C13" i="1"/>
  <c r="E22" i="11" s="1"/>
  <c r="C9" i="1"/>
  <c r="C5" i="1"/>
  <c r="D89" i="5" s="1"/>
  <c r="C4" i="1"/>
  <c r="C119" i="2"/>
  <c r="D70" i="2"/>
  <c r="E70" i="2"/>
  <c r="F70" i="2"/>
  <c r="G70" i="2"/>
  <c r="C70" i="2"/>
  <c r="D74" i="2"/>
  <c r="E74" i="2"/>
  <c r="F74" i="2"/>
  <c r="G74" i="2"/>
  <c r="C74" i="2"/>
  <c r="D79" i="2"/>
  <c r="E79" i="2"/>
  <c r="F79" i="2"/>
  <c r="G79" i="2"/>
  <c r="C79" i="2"/>
  <c r="D82" i="2"/>
  <c r="E92" i="5" s="1"/>
  <c r="E82" i="2"/>
  <c r="F92" i="5" s="1"/>
  <c r="F82" i="2"/>
  <c r="G92" i="5" s="1"/>
  <c r="G82" i="2"/>
  <c r="H92" i="5" s="1"/>
  <c r="C82" i="2"/>
  <c r="D92" i="5" s="1"/>
  <c r="D87" i="2"/>
  <c r="E87" i="2"/>
  <c r="F87" i="2"/>
  <c r="G87" i="2"/>
  <c r="C87" i="2"/>
  <c r="D92" i="2"/>
  <c r="E92" i="2"/>
  <c r="F92" i="2"/>
  <c r="G92" i="2"/>
  <c r="C92" i="2"/>
  <c r="D103" i="2"/>
  <c r="E103" i="2"/>
  <c r="F103" i="2"/>
  <c r="G103" i="2"/>
  <c r="C103" i="2"/>
  <c r="D115" i="2"/>
  <c r="E115" i="2"/>
  <c r="F115" i="2"/>
  <c r="G115" i="2"/>
  <c r="C115" i="2"/>
  <c r="D119" i="2"/>
  <c r="E119" i="2"/>
  <c r="F119" i="2"/>
  <c r="G119" i="2"/>
  <c r="D63" i="2"/>
  <c r="E63" i="2"/>
  <c r="F63" i="2"/>
  <c r="G63" i="2"/>
  <c r="D58" i="2"/>
  <c r="E58" i="2"/>
  <c r="F58" i="2"/>
  <c r="G58" i="2"/>
  <c r="D48" i="2"/>
  <c r="E48" i="2"/>
  <c r="F48" i="2"/>
  <c r="G48" i="2"/>
  <c r="D40" i="2"/>
  <c r="E40" i="2"/>
  <c r="F40" i="2"/>
  <c r="G40" i="2"/>
  <c r="D33" i="2"/>
  <c r="E33" i="2"/>
  <c r="F33" i="2"/>
  <c r="G33" i="2"/>
  <c r="D24" i="2"/>
  <c r="E24" i="2"/>
  <c r="F24" i="2"/>
  <c r="G24" i="2"/>
  <c r="D14" i="2"/>
  <c r="E14" i="2"/>
  <c r="F14" i="2"/>
  <c r="G14" i="2"/>
  <c r="D5" i="2"/>
  <c r="E5" i="2"/>
  <c r="F5" i="2"/>
  <c r="G5" i="2"/>
  <c r="C63" i="2"/>
  <c r="C58" i="2"/>
  <c r="C48" i="2"/>
  <c r="C40" i="2"/>
  <c r="C33" i="2"/>
  <c r="C24" i="2"/>
  <c r="C5" i="2"/>
  <c r="F23" i="22" l="1"/>
  <c r="T22" i="22"/>
  <c r="V66" i="20"/>
  <c r="AA51" i="20"/>
  <c r="G48" i="20"/>
  <c r="F22" i="22"/>
  <c r="F14" i="15"/>
  <c r="F11" i="15" s="1"/>
  <c r="F16" i="15" s="1"/>
  <c r="E78" i="11"/>
  <c r="F6" i="13"/>
  <c r="F15" i="13" s="1"/>
  <c r="F16" i="13" s="1"/>
  <c r="E201" i="11" s="1"/>
  <c r="G11" i="4"/>
  <c r="G14" i="4" s="1"/>
  <c r="J5" i="23"/>
  <c r="J13" i="23" s="1"/>
  <c r="J16" i="23" s="1"/>
  <c r="J18" i="23" s="1"/>
  <c r="F19" i="23" s="1"/>
  <c r="F21" i="23" s="1"/>
  <c r="E39" i="14"/>
  <c r="E168" i="14"/>
  <c r="D13" i="25"/>
  <c r="F13" i="25" s="1"/>
  <c r="D17" i="25"/>
  <c r="E50" i="14"/>
  <c r="E76" i="14" s="1"/>
  <c r="E73" i="14" s="1"/>
  <c r="E82" i="14" s="1"/>
  <c r="E46" i="11"/>
  <c r="F47" i="11" s="1"/>
  <c r="E31" i="11"/>
  <c r="E50" i="11"/>
  <c r="I51" i="11"/>
  <c r="I194" i="11"/>
  <c r="I16" i="11"/>
  <c r="I47" i="11"/>
  <c r="G3" i="6"/>
  <c r="G6" i="6" s="1"/>
  <c r="G8" i="6" s="1"/>
  <c r="G10" i="6" s="1"/>
  <c r="D85" i="2"/>
  <c r="D69" i="2" s="1"/>
  <c r="D9" i="5"/>
  <c r="E9" i="5"/>
  <c r="H9" i="5"/>
  <c r="G9" i="5"/>
  <c r="F9" i="5"/>
  <c r="F112" i="4"/>
  <c r="E55" i="1"/>
  <c r="E63" i="1" s="1"/>
  <c r="H5" i="5"/>
  <c r="E10" i="5"/>
  <c r="E5" i="5"/>
  <c r="G5" i="5"/>
  <c r="G63" i="1"/>
  <c r="C41" i="3"/>
  <c r="E64" i="1"/>
  <c r="F63" i="1"/>
  <c r="C40" i="3"/>
  <c r="H69" i="5"/>
  <c r="D69" i="5"/>
  <c r="G36" i="5"/>
  <c r="F69" i="5"/>
  <c r="E36" i="5"/>
  <c r="H91" i="5"/>
  <c r="G69" i="5"/>
  <c r="F86" i="2"/>
  <c r="G6" i="5" s="1"/>
  <c r="H36" i="5"/>
  <c r="G91" i="5"/>
  <c r="G86" i="2"/>
  <c r="F4" i="2"/>
  <c r="C38" i="3"/>
  <c r="F91" i="5"/>
  <c r="F36" i="5"/>
  <c r="E69" i="5"/>
  <c r="E91" i="5"/>
  <c r="E86" i="2"/>
  <c r="D86" i="2"/>
  <c r="E32" i="2"/>
  <c r="D32" i="2"/>
  <c r="E4" i="2"/>
  <c r="D4" i="2"/>
  <c r="C12" i="1"/>
  <c r="C31" i="1" s="1"/>
  <c r="F19" i="13" s="1"/>
  <c r="F23" i="13" s="1"/>
  <c r="E11" i="11" s="1"/>
  <c r="E16" i="11" s="1"/>
  <c r="D91" i="5"/>
  <c r="D36" i="5"/>
  <c r="C86" i="2"/>
  <c r="D72" i="5" s="1"/>
  <c r="C61" i="1"/>
  <c r="D34" i="5"/>
  <c r="D46" i="5" s="1"/>
  <c r="D73" i="5"/>
  <c r="E47" i="4"/>
  <c r="E58" i="4" s="1"/>
  <c r="C47" i="4"/>
  <c r="C58" i="4" s="1"/>
  <c r="F47" i="4"/>
  <c r="F58" i="4" s="1"/>
  <c r="F46" i="5"/>
  <c r="F73" i="5"/>
  <c r="E73" i="5"/>
  <c r="G46" i="5"/>
  <c r="E46" i="5"/>
  <c r="H46" i="5"/>
  <c r="G47" i="4"/>
  <c r="G58" i="4" s="1"/>
  <c r="D47" i="4"/>
  <c r="C32" i="2"/>
  <c r="C83" i="4" s="1"/>
  <c r="C4" i="2"/>
  <c r="G32" i="2"/>
  <c r="F32" i="2"/>
  <c r="G4" i="2"/>
  <c r="G23" i="22" l="1"/>
  <c r="U22" i="22"/>
  <c r="H48" i="20"/>
  <c r="G22" i="22"/>
  <c r="F202" i="11"/>
  <c r="F203" i="11" s="1"/>
  <c r="K23" i="20"/>
  <c r="E84" i="11"/>
  <c r="E85" i="11" s="1"/>
  <c r="E58" i="11"/>
  <c r="F32" i="15"/>
  <c r="F33" i="15" s="1"/>
  <c r="G15" i="4"/>
  <c r="I6" i="15"/>
  <c r="I16" i="15" s="1"/>
  <c r="G112" i="4"/>
  <c r="F24" i="23"/>
  <c r="F25" i="23" s="1"/>
  <c r="F26" i="23" s="1"/>
  <c r="F23" i="23"/>
  <c r="E32" i="5"/>
  <c r="D112" i="4"/>
  <c r="D18" i="25"/>
  <c r="E18" i="25" s="1"/>
  <c r="F18" i="25" s="1"/>
  <c r="E17" i="25"/>
  <c r="F17" i="25" s="1"/>
  <c r="E174" i="14"/>
  <c r="E51" i="14"/>
  <c r="F48" i="11"/>
  <c r="F12" i="11"/>
  <c r="E51" i="11"/>
  <c r="E194" i="11"/>
  <c r="E195" i="11" s="1"/>
  <c r="J16" i="11"/>
  <c r="J11" i="11" s="1"/>
  <c r="J31" i="11"/>
  <c r="I195" i="11"/>
  <c r="I203" i="11" s="1"/>
  <c r="F5" i="5"/>
  <c r="F10" i="5"/>
  <c r="C39" i="3"/>
  <c r="J3" i="6"/>
  <c r="J6" i="6" s="1"/>
  <c r="J8" i="6" s="1"/>
  <c r="J10" i="6" s="1"/>
  <c r="G85" i="2"/>
  <c r="G68" i="5"/>
  <c r="G76" i="5" s="1"/>
  <c r="I3" i="6"/>
  <c r="I6" i="6" s="1"/>
  <c r="I8" i="6" s="1"/>
  <c r="I10" i="6" s="1"/>
  <c r="F85" i="2"/>
  <c r="F69" i="2" s="1"/>
  <c r="H3" i="6"/>
  <c r="H6" i="6" s="1"/>
  <c r="H8" i="6" s="1"/>
  <c r="H10" i="6" s="1"/>
  <c r="E85" i="2"/>
  <c r="E69" i="2" s="1"/>
  <c r="F90" i="5" s="1"/>
  <c r="G87" i="5"/>
  <c r="G32" i="5"/>
  <c r="G47" i="5" s="1"/>
  <c r="H68" i="5"/>
  <c r="H76" i="5" s="1"/>
  <c r="H32" i="5"/>
  <c r="H47" i="5" s="1"/>
  <c r="H87" i="5"/>
  <c r="G15" i="5"/>
  <c r="E68" i="5"/>
  <c r="E76" i="5" s="1"/>
  <c r="E87" i="5"/>
  <c r="D2" i="2"/>
  <c r="E7" i="5" s="1"/>
  <c r="D78" i="5"/>
  <c r="C55" i="1"/>
  <c r="C63" i="1" s="1"/>
  <c r="G88" i="5"/>
  <c r="E24" i="3"/>
  <c r="H31" i="5"/>
  <c r="E25" i="3"/>
  <c r="F88" i="5"/>
  <c r="F102" i="5" s="1"/>
  <c r="E23" i="3"/>
  <c r="G71" i="5"/>
  <c r="E90" i="5"/>
  <c r="E103" i="5" s="1"/>
  <c r="D22" i="3"/>
  <c r="F2" i="2"/>
  <c r="D7" i="3"/>
  <c r="D9" i="3"/>
  <c r="F48" i="4"/>
  <c r="F59" i="4" s="1"/>
  <c r="G31" i="5"/>
  <c r="H71" i="5"/>
  <c r="H88" i="5"/>
  <c r="H102" i="5" s="1"/>
  <c r="H6" i="5"/>
  <c r="H15" i="5" s="1"/>
  <c r="H93" i="5"/>
  <c r="H70" i="5"/>
  <c r="E10" i="3"/>
  <c r="H35" i="5"/>
  <c r="G93" i="5"/>
  <c r="G35" i="5"/>
  <c r="G70" i="5"/>
  <c r="E9" i="3"/>
  <c r="D10" i="3"/>
  <c r="F103" i="5"/>
  <c r="F31" i="5"/>
  <c r="F6" i="5"/>
  <c r="F71" i="5"/>
  <c r="E71" i="5"/>
  <c r="E6" i="5"/>
  <c r="E15" i="5" s="1"/>
  <c r="E88" i="5"/>
  <c r="E31" i="5"/>
  <c r="E22" i="3"/>
  <c r="D110" i="4"/>
  <c r="D68" i="2"/>
  <c r="D8" i="3"/>
  <c r="E2" i="2"/>
  <c r="F93" i="5"/>
  <c r="E8" i="3"/>
  <c r="F70" i="5"/>
  <c r="F35" i="5"/>
  <c r="E93" i="5"/>
  <c r="E35" i="5"/>
  <c r="E70" i="5"/>
  <c r="E7" i="3"/>
  <c r="C64" i="1"/>
  <c r="D31" i="5"/>
  <c r="E21" i="3"/>
  <c r="D79" i="5"/>
  <c r="D88" i="5"/>
  <c r="D104" i="5" s="1"/>
  <c r="D6" i="5"/>
  <c r="D71" i="5"/>
  <c r="D70" i="5"/>
  <c r="D93" i="5"/>
  <c r="D35" i="5"/>
  <c r="E6" i="3"/>
  <c r="D6" i="3"/>
  <c r="D48" i="4"/>
  <c r="D58" i="4"/>
  <c r="E54" i="4"/>
  <c r="E53" i="4"/>
  <c r="G53" i="4"/>
  <c r="G54" i="4"/>
  <c r="F53" i="4"/>
  <c r="F54" i="4"/>
  <c r="D54" i="4"/>
  <c r="D53" i="4"/>
  <c r="E48" i="4"/>
  <c r="C53" i="4"/>
  <c r="C48" i="4"/>
  <c r="G48" i="4"/>
  <c r="G59" i="4" s="1"/>
  <c r="C54" i="4"/>
  <c r="E47" i="5"/>
  <c r="C2" i="2"/>
  <c r="G2" i="2"/>
  <c r="H23" i="22" l="1"/>
  <c r="V22" i="22"/>
  <c r="I48" i="20"/>
  <c r="H22" i="22"/>
  <c r="C12" i="4"/>
  <c r="C14" i="4"/>
  <c r="G69" i="2"/>
  <c r="G68" i="2" s="1"/>
  <c r="E139" i="14"/>
  <c r="I32" i="15"/>
  <c r="I33" i="15" s="1"/>
  <c r="E112" i="4"/>
  <c r="E43" i="5"/>
  <c r="E44" i="5"/>
  <c r="E59" i="14"/>
  <c r="E17" i="20"/>
  <c r="F15" i="5"/>
  <c r="F196" i="11"/>
  <c r="K31" i="11"/>
  <c r="K22" i="11" s="1"/>
  <c r="J22" i="11"/>
  <c r="K16" i="11"/>
  <c r="E68" i="2"/>
  <c r="F73" i="3" s="1"/>
  <c r="E110" i="4"/>
  <c r="D24" i="3"/>
  <c r="G90" i="5"/>
  <c r="G103" i="5" s="1"/>
  <c r="F110" i="4"/>
  <c r="H90" i="5"/>
  <c r="H103" i="5" s="1"/>
  <c r="F68" i="2"/>
  <c r="G75" i="3" s="1"/>
  <c r="D25" i="3"/>
  <c r="G110" i="4"/>
  <c r="D23" i="3"/>
  <c r="F3" i="6"/>
  <c r="F6" i="6" s="1"/>
  <c r="F8" i="6" s="1"/>
  <c r="F10" i="6" s="1"/>
  <c r="C85" i="2"/>
  <c r="C69" i="2" s="1"/>
  <c r="C113" i="4" s="1"/>
  <c r="G43" i="5"/>
  <c r="H44" i="5"/>
  <c r="G101" i="5"/>
  <c r="F68" i="5"/>
  <c r="F76" i="5" s="1"/>
  <c r="F32" i="5"/>
  <c r="F43" i="5" s="1"/>
  <c r="F87" i="5"/>
  <c r="F101" i="5" s="1"/>
  <c r="D113" i="4"/>
  <c r="H58" i="3"/>
  <c r="E57" i="3"/>
  <c r="D124" i="2"/>
  <c r="E58" i="3"/>
  <c r="D58" i="3"/>
  <c r="F58" i="3"/>
  <c r="E124" i="2"/>
  <c r="E60" i="3"/>
  <c r="G60" i="3"/>
  <c r="H43" i="5"/>
  <c r="D10" i="5"/>
  <c r="C9" i="3"/>
  <c r="G57" i="3"/>
  <c r="F52" i="4"/>
  <c r="G30" i="5"/>
  <c r="G56" i="5" s="1"/>
  <c r="G66" i="3"/>
  <c r="F113" i="4"/>
  <c r="G67" i="3"/>
  <c r="G77" i="5"/>
  <c r="G105" i="5"/>
  <c r="F77" i="5"/>
  <c r="D111" i="4"/>
  <c r="E59" i="3"/>
  <c r="E62" i="3"/>
  <c r="E67" i="3"/>
  <c r="D52" i="4"/>
  <c r="C7" i="3"/>
  <c r="E63" i="3"/>
  <c r="D55" i="4"/>
  <c r="E30" i="5"/>
  <c r="E55" i="5" s="1"/>
  <c r="E64" i="3"/>
  <c r="E61" i="3"/>
  <c r="E66" i="3"/>
  <c r="E65" i="3"/>
  <c r="C37" i="3"/>
  <c r="D5" i="5"/>
  <c r="D15" i="5" s="1"/>
  <c r="F105" i="5"/>
  <c r="H77" i="5"/>
  <c r="F104" i="5"/>
  <c r="H105" i="5"/>
  <c r="G104" i="5"/>
  <c r="G102" i="5"/>
  <c r="E78" i="3"/>
  <c r="E68" i="3"/>
  <c r="E72" i="3"/>
  <c r="E74" i="3"/>
  <c r="E76" i="3"/>
  <c r="E71" i="3"/>
  <c r="E73" i="3"/>
  <c r="E75" i="3"/>
  <c r="E77" i="3"/>
  <c r="E70" i="3"/>
  <c r="F71" i="3"/>
  <c r="F68" i="3"/>
  <c r="F78" i="3"/>
  <c r="F69" i="3"/>
  <c r="E69" i="3"/>
  <c r="G7" i="5"/>
  <c r="G20" i="5" s="1"/>
  <c r="G65" i="3"/>
  <c r="G59" i="3"/>
  <c r="F111" i="4"/>
  <c r="G63" i="3"/>
  <c r="G62" i="3"/>
  <c r="G58" i="3"/>
  <c r="G61" i="3"/>
  <c r="G64" i="3"/>
  <c r="F62" i="3"/>
  <c r="F64" i="3"/>
  <c r="F66" i="3"/>
  <c r="F59" i="3"/>
  <c r="F67" i="3"/>
  <c r="F57" i="3"/>
  <c r="F61" i="3"/>
  <c r="F63" i="3"/>
  <c r="F65" i="3"/>
  <c r="F60" i="3"/>
  <c r="H57" i="3"/>
  <c r="H59" i="3"/>
  <c r="H61" i="3"/>
  <c r="H63" i="3"/>
  <c r="H65" i="3"/>
  <c r="H67" i="3"/>
  <c r="H62" i="3"/>
  <c r="H64" i="3"/>
  <c r="H66" i="3"/>
  <c r="G12" i="4"/>
  <c r="H60" i="3"/>
  <c r="F56" i="4"/>
  <c r="F57" i="4"/>
  <c r="F55" i="4"/>
  <c r="H104" i="5"/>
  <c r="H101" i="5"/>
  <c r="H58" i="5"/>
  <c r="H45" i="5"/>
  <c r="G45" i="5"/>
  <c r="G58" i="5"/>
  <c r="G44" i="5"/>
  <c r="G113" i="4"/>
  <c r="H7" i="5"/>
  <c r="G111" i="4"/>
  <c r="H30" i="5"/>
  <c r="C10" i="3"/>
  <c r="G52" i="4"/>
  <c r="E77" i="5"/>
  <c r="C22" i="3"/>
  <c r="E102" i="5"/>
  <c r="E104" i="5"/>
  <c r="E105" i="5"/>
  <c r="E101" i="5"/>
  <c r="E52" i="4"/>
  <c r="F45" i="5"/>
  <c r="F58" i="5"/>
  <c r="E45" i="5"/>
  <c r="E58" i="5"/>
  <c r="E111" i="4"/>
  <c r="F30" i="5"/>
  <c r="F7" i="5"/>
  <c r="F17" i="5" s="1"/>
  <c r="E113" i="4"/>
  <c r="C8" i="3"/>
  <c r="E17" i="5"/>
  <c r="E16" i="5"/>
  <c r="E20" i="5"/>
  <c r="D77" i="5"/>
  <c r="D105" i="5"/>
  <c r="D102" i="5"/>
  <c r="D45" i="5"/>
  <c r="D58" i="5"/>
  <c r="D7" i="5"/>
  <c r="D64" i="3"/>
  <c r="C111" i="4"/>
  <c r="D67" i="3"/>
  <c r="D63" i="3"/>
  <c r="D59" i="3"/>
  <c r="D57" i="3"/>
  <c r="D66" i="3"/>
  <c r="D62" i="3"/>
  <c r="D61" i="3"/>
  <c r="D30" i="5"/>
  <c r="D65" i="3"/>
  <c r="C6" i="3"/>
  <c r="D60" i="3"/>
  <c r="C52" i="4"/>
  <c r="G57" i="4"/>
  <c r="C55" i="4"/>
  <c r="C59" i="4"/>
  <c r="C57" i="4"/>
  <c r="E57" i="4"/>
  <c r="E59" i="4"/>
  <c r="D57" i="4"/>
  <c r="D59" i="4"/>
  <c r="D56" i="4"/>
  <c r="G55" i="4"/>
  <c r="G56" i="4"/>
  <c r="E56" i="4"/>
  <c r="E55" i="4"/>
  <c r="C56" i="4"/>
  <c r="I23" i="22" l="1"/>
  <c r="W22" i="22"/>
  <c r="J48" i="20"/>
  <c r="J22" i="22" s="1"/>
  <c r="Y22" i="22" s="1"/>
  <c r="I22" i="22"/>
  <c r="E63" i="20"/>
  <c r="G124" i="2"/>
  <c r="E129" i="14"/>
  <c r="E172" i="14" s="1"/>
  <c r="C20" i="26"/>
  <c r="E130" i="14"/>
  <c r="G13" i="4"/>
  <c r="C112" i="4"/>
  <c r="E22" i="20"/>
  <c r="E9" i="22"/>
  <c r="E24" i="20"/>
  <c r="E23" i="20"/>
  <c r="E63" i="14"/>
  <c r="E99" i="14" s="1"/>
  <c r="E100" i="14" s="1"/>
  <c r="E159" i="14"/>
  <c r="F76" i="3"/>
  <c r="F77" i="3"/>
  <c r="L16" i="11"/>
  <c r="L11" i="11" s="1"/>
  <c r="K11" i="11"/>
  <c r="F74" i="3"/>
  <c r="F75" i="3"/>
  <c r="L31" i="11"/>
  <c r="K46" i="11"/>
  <c r="G15" i="14"/>
  <c r="G19" i="14" s="1"/>
  <c r="K50" i="11"/>
  <c r="C23" i="3"/>
  <c r="F70" i="3"/>
  <c r="F72" i="3"/>
  <c r="J46" i="11"/>
  <c r="J47" i="11" s="1"/>
  <c r="F15" i="14"/>
  <c r="F19" i="14" s="1"/>
  <c r="J50" i="11"/>
  <c r="H73" i="3"/>
  <c r="H76" i="3"/>
  <c r="C25" i="3"/>
  <c r="H74" i="3"/>
  <c r="H70" i="3"/>
  <c r="H75" i="3"/>
  <c r="H72" i="3"/>
  <c r="G74" i="3"/>
  <c r="C24" i="3"/>
  <c r="G77" i="3"/>
  <c r="G76" i="3"/>
  <c r="F124" i="2"/>
  <c r="G78" i="3"/>
  <c r="G73" i="3"/>
  <c r="G71" i="3"/>
  <c r="G69" i="3"/>
  <c r="G70" i="3"/>
  <c r="H69" i="3"/>
  <c r="H71" i="3"/>
  <c r="G72" i="3"/>
  <c r="G68" i="3"/>
  <c r="H77" i="3"/>
  <c r="H78" i="3"/>
  <c r="H68" i="3"/>
  <c r="C68" i="2"/>
  <c r="C110" i="4"/>
  <c r="D90" i="5"/>
  <c r="D103" i="5" s="1"/>
  <c r="D21" i="3"/>
  <c r="F47" i="5"/>
  <c r="F44" i="5"/>
  <c r="F56" i="5"/>
  <c r="D17" i="5"/>
  <c r="D87" i="5"/>
  <c r="D101" i="5" s="1"/>
  <c r="D32" i="5"/>
  <c r="D47" i="5" s="1"/>
  <c r="D68" i="5"/>
  <c r="D76" i="5" s="1"/>
  <c r="D80" i="5" s="1"/>
  <c r="G55" i="5"/>
  <c r="G72" i="5"/>
  <c r="G79" i="5" s="1"/>
  <c r="G42" i="5"/>
  <c r="G48" i="5" s="1"/>
  <c r="G17" i="5"/>
  <c r="G57" i="5"/>
  <c r="G16" i="5"/>
  <c r="F107" i="5"/>
  <c r="E56" i="5"/>
  <c r="E42" i="5"/>
  <c r="E48" i="5" s="1"/>
  <c r="E57" i="5"/>
  <c r="E72" i="5"/>
  <c r="E78" i="5" s="1"/>
  <c r="G107" i="5"/>
  <c r="H107" i="5"/>
  <c r="F20" i="5"/>
  <c r="H72" i="5"/>
  <c r="H42" i="5"/>
  <c r="H48" i="5" s="1"/>
  <c r="H57" i="5"/>
  <c r="H55" i="5"/>
  <c r="H56" i="5"/>
  <c r="H17" i="5"/>
  <c r="H16" i="5"/>
  <c r="H20" i="5"/>
  <c r="E107" i="5"/>
  <c r="F42" i="5"/>
  <c r="F57" i="5"/>
  <c r="F72" i="5"/>
  <c r="F78" i="5" s="1"/>
  <c r="F16" i="5"/>
  <c r="F55" i="5"/>
  <c r="E21" i="5"/>
  <c r="D55" i="5"/>
  <c r="D42" i="5"/>
  <c r="D57" i="5"/>
  <c r="D16" i="5"/>
  <c r="D20" i="5"/>
  <c r="X22" i="22" l="1"/>
  <c r="J23" i="22"/>
  <c r="E167" i="14"/>
  <c r="E6" i="19"/>
  <c r="E10" i="19" s="1"/>
  <c r="E173" i="14"/>
  <c r="G30" i="20"/>
  <c r="G175" i="14"/>
  <c r="G179" i="14"/>
  <c r="G180" i="14"/>
  <c r="F30" i="20"/>
  <c r="F179" i="14"/>
  <c r="F175" i="14"/>
  <c r="F180" i="14"/>
  <c r="E176" i="14"/>
  <c r="E169" i="14"/>
  <c r="E123" i="14"/>
  <c r="E7" i="20"/>
  <c r="E8" i="20" s="1"/>
  <c r="E76" i="20" s="1"/>
  <c r="V79" i="20" s="1"/>
  <c r="F45" i="14"/>
  <c r="G49" i="14"/>
  <c r="F49" i="14"/>
  <c r="M31" i="11"/>
  <c r="M22" i="11" s="1"/>
  <c r="L22" i="11"/>
  <c r="N31" i="11"/>
  <c r="N22" i="11" s="1"/>
  <c r="K51" i="11"/>
  <c r="K194" i="11"/>
  <c r="K195" i="11" s="1"/>
  <c r="K203" i="11" s="1"/>
  <c r="J51" i="11"/>
  <c r="J194" i="11"/>
  <c r="K47" i="11"/>
  <c r="M16" i="11"/>
  <c r="M11" i="11" s="1"/>
  <c r="D107" i="5"/>
  <c r="D43" i="5"/>
  <c r="C124" i="2"/>
  <c r="D77" i="3"/>
  <c r="D76" i="3"/>
  <c r="D70" i="3"/>
  <c r="D75" i="3"/>
  <c r="D73" i="3"/>
  <c r="D71" i="3"/>
  <c r="D69" i="3"/>
  <c r="D78" i="3"/>
  <c r="C21" i="3"/>
  <c r="D68" i="3"/>
  <c r="D74" i="3"/>
  <c r="D72" i="3"/>
  <c r="F48" i="5"/>
  <c r="E59" i="5"/>
  <c r="D56" i="5"/>
  <c r="D59" i="5" s="1"/>
  <c r="D44" i="5"/>
  <c r="G59" i="5"/>
  <c r="G78" i="5"/>
  <c r="G80" i="5" s="1"/>
  <c r="G21" i="5"/>
  <c r="E79" i="5"/>
  <c r="E80" i="5" s="1"/>
  <c r="F21" i="5"/>
  <c r="H79" i="5"/>
  <c r="H78" i="5"/>
  <c r="H59" i="5"/>
  <c r="H21" i="5"/>
  <c r="F59" i="5"/>
  <c r="F79" i="5"/>
  <c r="F80" i="5" s="1"/>
  <c r="D21" i="5"/>
  <c r="F31" i="20" l="1"/>
  <c r="W30" i="20"/>
  <c r="G31" i="20"/>
  <c r="X30" i="20"/>
  <c r="F34" i="23"/>
  <c r="C9" i="25"/>
  <c r="E47" i="22"/>
  <c r="T47" i="22" s="1"/>
  <c r="E125" i="14"/>
  <c r="E163" i="14"/>
  <c r="E162" i="14"/>
  <c r="F30" i="14"/>
  <c r="J195" i="11"/>
  <c r="J203" i="11" s="1"/>
  <c r="G50" i="14"/>
  <c r="G51" i="14" s="1"/>
  <c r="F50" i="14"/>
  <c r="F51" i="14" s="1"/>
  <c r="N46" i="11"/>
  <c r="J15" i="14"/>
  <c r="J19" i="14" s="1"/>
  <c r="N50" i="11"/>
  <c r="L46" i="11"/>
  <c r="L47" i="11" s="1"/>
  <c r="H15" i="14"/>
  <c r="H19" i="14" s="1"/>
  <c r="L50" i="11"/>
  <c r="N16" i="11"/>
  <c r="N11" i="11" s="1"/>
  <c r="J12" i="11" s="1"/>
  <c r="M46" i="11"/>
  <c r="M47" i="11" s="1"/>
  <c r="I15" i="14"/>
  <c r="I19" i="14" s="1"/>
  <c r="M50" i="11"/>
  <c r="D48" i="5"/>
  <c r="H80" i="5"/>
  <c r="G32" i="20" l="1"/>
  <c r="G37" i="20" s="1"/>
  <c r="G41" i="20" s="1"/>
  <c r="X31" i="20"/>
  <c r="F32" i="20"/>
  <c r="F37" i="20" s="1"/>
  <c r="F41" i="20" s="1"/>
  <c r="W31" i="20"/>
  <c r="J30" i="20"/>
  <c r="J179" i="14"/>
  <c r="J180" i="14"/>
  <c r="J175" i="14"/>
  <c r="I30" i="20"/>
  <c r="I179" i="14"/>
  <c r="I180" i="14"/>
  <c r="I175" i="14"/>
  <c r="H30" i="20"/>
  <c r="H175" i="14"/>
  <c r="H179" i="14"/>
  <c r="H180" i="14"/>
  <c r="F32" i="14"/>
  <c r="F37" i="14" s="1"/>
  <c r="F75" i="14"/>
  <c r="G59" i="14"/>
  <c r="G63" i="14" s="1"/>
  <c r="G17" i="20"/>
  <c r="G14" i="25"/>
  <c r="C11" i="26" s="1"/>
  <c r="G16" i="25"/>
  <c r="C12" i="26" s="1"/>
  <c r="G19" i="25"/>
  <c r="C15" i="26" s="1"/>
  <c r="G13" i="25"/>
  <c r="C10" i="26" s="1"/>
  <c r="G17" i="25"/>
  <c r="C13" i="26" s="1"/>
  <c r="G18" i="25"/>
  <c r="C14" i="26" s="1"/>
  <c r="F59" i="14"/>
  <c r="F17" i="20"/>
  <c r="J49" i="14"/>
  <c r="I49" i="14"/>
  <c r="H49" i="14"/>
  <c r="N51" i="11"/>
  <c r="N194" i="11"/>
  <c r="M22" i="20" s="1"/>
  <c r="M51" i="11"/>
  <c r="M194" i="11"/>
  <c r="M195" i="11" s="1"/>
  <c r="M203" i="11" s="1"/>
  <c r="L51" i="11"/>
  <c r="L194" i="11"/>
  <c r="J48" i="11"/>
  <c r="N47" i="11"/>
  <c r="W33" i="20" l="1"/>
  <c r="W40" i="20" s="1"/>
  <c r="W44" i="20" s="1"/>
  <c r="X33" i="20"/>
  <c r="X40" i="20" s="1"/>
  <c r="X44" i="20" s="1"/>
  <c r="H31" i="20"/>
  <c r="Y30" i="20"/>
  <c r="J31" i="20"/>
  <c r="AA30" i="20"/>
  <c r="I31" i="20"/>
  <c r="Z30" i="20"/>
  <c r="L195" i="11"/>
  <c r="L203" i="11" s="1"/>
  <c r="M23" i="20"/>
  <c r="F9" i="22"/>
  <c r="F22" i="20"/>
  <c r="F24" i="20"/>
  <c r="F23" i="20"/>
  <c r="G9" i="22"/>
  <c r="G22" i="20"/>
  <c r="G23" i="20"/>
  <c r="G24" i="20"/>
  <c r="F63" i="14"/>
  <c r="F168" i="14"/>
  <c r="F38" i="14"/>
  <c r="F76" i="14" s="1"/>
  <c r="F73" i="14" s="1"/>
  <c r="F82" i="14" s="1"/>
  <c r="H50" i="14"/>
  <c r="H51" i="14" s="1"/>
  <c r="J50" i="14"/>
  <c r="I50" i="14"/>
  <c r="I51" i="14" s="1"/>
  <c r="J196" i="11"/>
  <c r="N195" i="11"/>
  <c r="N203" i="11" s="1"/>
  <c r="G12" i="22" l="1"/>
  <c r="G16" i="22" s="1"/>
  <c r="V9" i="22"/>
  <c r="V11" i="22" s="1"/>
  <c r="V12" i="22" s="1"/>
  <c r="F12" i="22"/>
  <c r="F16" i="22" s="1"/>
  <c r="U9" i="22"/>
  <c r="I32" i="20"/>
  <c r="I37" i="20" s="1"/>
  <c r="I41" i="20" s="1"/>
  <c r="Z31" i="20"/>
  <c r="Z33" i="20" s="1"/>
  <c r="Z40" i="20" s="1"/>
  <c r="Z44" i="20" s="1"/>
  <c r="H32" i="20"/>
  <c r="H37" i="20" s="1"/>
  <c r="H41" i="20" s="1"/>
  <c r="Y31" i="20"/>
  <c r="Y33" i="20" s="1"/>
  <c r="Y40" i="20" s="1"/>
  <c r="Y44" i="20" s="1"/>
  <c r="J32" i="20"/>
  <c r="AA31" i="20"/>
  <c r="AA33" i="20" s="1"/>
  <c r="AA40" i="20" s="1"/>
  <c r="I59" i="14"/>
  <c r="I63" i="14" s="1"/>
  <c r="I17" i="20"/>
  <c r="F39" i="14"/>
  <c r="H59" i="14"/>
  <c r="H63" i="14" s="1"/>
  <c r="H17" i="20"/>
  <c r="F159" i="14"/>
  <c r="J51" i="14"/>
  <c r="AA44" i="20" l="1"/>
  <c r="V73" i="20" s="1"/>
  <c r="V50" i="20"/>
  <c r="W50" i="20" s="1"/>
  <c r="J37" i="20"/>
  <c r="J41" i="20" s="1"/>
  <c r="E70" i="20" s="1"/>
  <c r="E47" i="20"/>
  <c r="F47" i="20" s="1"/>
  <c r="F174" i="14"/>
  <c r="F93" i="14"/>
  <c r="F139" i="14"/>
  <c r="F176" i="14"/>
  <c r="F169" i="14"/>
  <c r="J59" i="14"/>
  <c r="J63" i="14" s="1"/>
  <c r="J17" i="20"/>
  <c r="L23" i="20" s="1"/>
  <c r="H9" i="22"/>
  <c r="H22" i="20"/>
  <c r="H24" i="20"/>
  <c r="H23" i="20"/>
  <c r="I22" i="20"/>
  <c r="I9" i="22"/>
  <c r="I24" i="20"/>
  <c r="I23" i="20"/>
  <c r="I12" i="22" l="1"/>
  <c r="I16" i="22" s="1"/>
  <c r="X9" i="22"/>
  <c r="X11" i="22" s="1"/>
  <c r="X12" i="22" s="1"/>
  <c r="H12" i="22"/>
  <c r="H16" i="22" s="1"/>
  <c r="W9" i="22"/>
  <c r="W11" i="22" s="1"/>
  <c r="W12" i="22" s="1"/>
  <c r="W52" i="20"/>
  <c r="X50" i="20"/>
  <c r="W53" i="20"/>
  <c r="W57" i="20" s="1"/>
  <c r="F49" i="20"/>
  <c r="F50" i="20"/>
  <c r="F54" i="20" s="1"/>
  <c r="G47" i="20"/>
  <c r="F21" i="22"/>
  <c r="J9" i="22"/>
  <c r="Y9" i="22" s="1"/>
  <c r="J22" i="20"/>
  <c r="L22" i="20"/>
  <c r="J23" i="20"/>
  <c r="J24" i="20"/>
  <c r="E49" i="20" s="1"/>
  <c r="V52" i="20" s="1"/>
  <c r="F138" i="14"/>
  <c r="F137" i="14" s="1"/>
  <c r="F130" i="14" s="1"/>
  <c r="F91" i="14"/>
  <c r="F94" i="14" s="1"/>
  <c r="F99" i="14" s="1"/>
  <c r="F100" i="14" s="1"/>
  <c r="T21" i="22" l="1"/>
  <c r="Y11" i="22"/>
  <c r="Y12" i="22" s="1"/>
  <c r="F24" i="22"/>
  <c r="F28" i="22" s="1"/>
  <c r="U21" i="22"/>
  <c r="G50" i="20"/>
  <c r="G54" i="20" s="1"/>
  <c r="G49" i="20"/>
  <c r="G21" i="22"/>
  <c r="H47" i="20"/>
  <c r="X53" i="20"/>
  <c r="X57" i="20" s="1"/>
  <c r="Y50" i="20"/>
  <c r="X52" i="20"/>
  <c r="F129" i="14"/>
  <c r="F172" i="14" s="1"/>
  <c r="F173" i="14"/>
  <c r="E21" i="22"/>
  <c r="J12" i="22"/>
  <c r="J16" i="22" s="1"/>
  <c r="E39" i="22" s="1"/>
  <c r="F123" i="14"/>
  <c r="G45" i="14"/>
  <c r="G24" i="22" l="1"/>
  <c r="G28" i="22" s="1"/>
  <c r="V21" i="22"/>
  <c r="V23" i="22" s="1"/>
  <c r="V24" i="22" s="1"/>
  <c r="Y52" i="20"/>
  <c r="Y53" i="20"/>
  <c r="Y57" i="20" s="1"/>
  <c r="Z50" i="20"/>
  <c r="I47" i="20"/>
  <c r="H50" i="20"/>
  <c r="H54" i="20" s="1"/>
  <c r="H49" i="20"/>
  <c r="H21" i="22"/>
  <c r="G30" i="14"/>
  <c r="F117" i="14"/>
  <c r="F125" i="14"/>
  <c r="F162" i="14"/>
  <c r="F163" i="14"/>
  <c r="F167" i="14"/>
  <c r="H24" i="22" l="1"/>
  <c r="H28" i="22" s="1"/>
  <c r="W21" i="22"/>
  <c r="W23" i="22" s="1"/>
  <c r="W24" i="22" s="1"/>
  <c r="Z53" i="20"/>
  <c r="Z57" i="20" s="1"/>
  <c r="V74" i="20" s="1"/>
  <c r="AA50" i="20"/>
  <c r="Z52" i="20"/>
  <c r="I50" i="20"/>
  <c r="I54" i="20" s="1"/>
  <c r="E71" i="20" s="1"/>
  <c r="I21" i="22"/>
  <c r="J47" i="20"/>
  <c r="I49" i="20"/>
  <c r="G32" i="14"/>
  <c r="G37" i="14" s="1"/>
  <c r="G75" i="14"/>
  <c r="F106" i="14"/>
  <c r="F164" i="14"/>
  <c r="I24" i="22" l="1"/>
  <c r="I28" i="22" s="1"/>
  <c r="E40" i="22" s="1"/>
  <c r="X21" i="22"/>
  <c r="X23" i="22" s="1"/>
  <c r="X24" i="22" s="1"/>
  <c r="E64" i="20"/>
  <c r="E66" i="20" s="1"/>
  <c r="J21" i="22"/>
  <c r="J49" i="20"/>
  <c r="E60" i="20" s="1"/>
  <c r="E61" i="20" s="1"/>
  <c r="J50" i="20"/>
  <c r="AA53" i="20"/>
  <c r="AA52" i="20"/>
  <c r="V63" i="20" s="1"/>
  <c r="V64" i="20" s="1"/>
  <c r="V67" i="20"/>
  <c r="V69" i="20" s="1"/>
  <c r="G168" i="14"/>
  <c r="G38" i="14"/>
  <c r="G76" i="14" s="1"/>
  <c r="G73" i="14" s="1"/>
  <c r="G39" i="14"/>
  <c r="J24" i="22" l="1"/>
  <c r="E35" i="22" s="1"/>
  <c r="E41" i="22" s="1"/>
  <c r="E42" i="22" s="1"/>
  <c r="E44" i="22" s="1"/>
  <c r="E46" i="22" s="1"/>
  <c r="E48" i="22" s="1"/>
  <c r="C4" i="26" s="1"/>
  <c r="Y21" i="22"/>
  <c r="Y23" i="22" s="1"/>
  <c r="Y24" i="22" s="1"/>
  <c r="E65" i="20"/>
  <c r="E72" i="20" s="1"/>
  <c r="E73" i="20" s="1"/>
  <c r="E75" i="20" s="1"/>
  <c r="E77" i="20" s="1"/>
  <c r="B5" i="30" s="1"/>
  <c r="B7" i="30" s="1"/>
  <c r="E82" i="20"/>
  <c r="V68" i="20"/>
  <c r="V75" i="20" s="1"/>
  <c r="G174" i="14"/>
  <c r="G139" i="14"/>
  <c r="G93" i="14"/>
  <c r="G159" i="14"/>
  <c r="G82" i="14"/>
  <c r="C3" i="26" l="1"/>
  <c r="C27" i="26" s="1"/>
  <c r="C29" i="26" s="1"/>
  <c r="E85" i="20"/>
  <c r="E84" i="20"/>
  <c r="V76" i="20"/>
  <c r="V78" i="20" s="1"/>
  <c r="E83" i="20"/>
  <c r="E81" i="20"/>
  <c r="G169" i="14"/>
  <c r="G176" i="14"/>
  <c r="G138" i="14"/>
  <c r="G137" i="14" s="1"/>
  <c r="G130" i="14" s="1"/>
  <c r="G91" i="14"/>
  <c r="G94" i="14" s="1"/>
  <c r="G99" i="14" s="1"/>
  <c r="G100" i="14" s="1"/>
  <c r="H17" i="17" l="1"/>
  <c r="H20" i="17" s="1"/>
  <c r="H22" i="17" s="1"/>
  <c r="V84" i="20"/>
  <c r="V86" i="20"/>
  <c r="V85" i="20"/>
  <c r="V80" i="20"/>
  <c r="V88" i="20" s="1"/>
  <c r="H45" i="14"/>
  <c r="F7" i="20"/>
  <c r="F8" i="20" s="1"/>
  <c r="G123" i="14"/>
  <c r="G129" i="14"/>
  <c r="G172" i="14" s="1"/>
  <c r="G173" i="14"/>
  <c r="F29" i="23" l="1"/>
  <c r="F31" i="23" s="1"/>
  <c r="F33" i="23" s="1"/>
  <c r="F35" i="23" s="1"/>
  <c r="C5" i="26" s="1"/>
  <c r="C28" i="26" s="1"/>
  <c r="R4" i="22"/>
  <c r="V87" i="20"/>
  <c r="G167" i="14"/>
  <c r="G163" i="14"/>
  <c r="H30" i="14"/>
  <c r="G117" i="14"/>
  <c r="G162" i="14"/>
  <c r="G125" i="14"/>
  <c r="V26" i="22" l="1"/>
  <c r="V28" i="22" s="1"/>
  <c r="W26" i="22"/>
  <c r="W28" i="22" s="1"/>
  <c r="V14" i="22"/>
  <c r="V16" i="22" s="1"/>
  <c r="X26" i="22"/>
  <c r="X28" i="22" s="1"/>
  <c r="W14" i="22"/>
  <c r="W16" i="22" s="1"/>
  <c r="T14" i="22"/>
  <c r="T26" i="22" s="1"/>
  <c r="U26" i="22"/>
  <c r="X14" i="22"/>
  <c r="X16" i="22" s="1"/>
  <c r="U11" i="22"/>
  <c r="U12" i="22" s="1"/>
  <c r="U14" i="22"/>
  <c r="Y14" i="22"/>
  <c r="Y16" i="22" s="1"/>
  <c r="U23" i="22"/>
  <c r="U24" i="22" s="1"/>
  <c r="U28" i="22" s="1"/>
  <c r="T35" i="22"/>
  <c r="G106" i="14"/>
  <c r="G164" i="14"/>
  <c r="H75" i="14"/>
  <c r="H32" i="14"/>
  <c r="H37" i="14" s="1"/>
  <c r="T41" i="22" l="1"/>
  <c r="U16" i="22"/>
  <c r="T39" i="22" s="1"/>
  <c r="T40" i="22"/>
  <c r="H168" i="14"/>
  <c r="H38" i="14"/>
  <c r="H76" i="14" s="1"/>
  <c r="H73" i="14" s="1"/>
  <c r="H39" i="14" l="1"/>
  <c r="H174" i="14" s="1"/>
  <c r="T42" i="22"/>
  <c r="T44" i="22" s="1"/>
  <c r="T46" i="22" s="1"/>
  <c r="T48" i="22" s="1"/>
  <c r="H139" i="14"/>
  <c r="H82" i="14"/>
  <c r="H159" i="14"/>
  <c r="H93" i="14" l="1"/>
  <c r="H91" i="14" s="1"/>
  <c r="H94" i="14" s="1"/>
  <c r="H99" i="14" s="1"/>
  <c r="H100" i="14" s="1"/>
  <c r="H176" i="14"/>
  <c r="H169" i="14"/>
  <c r="H138" i="14"/>
  <c r="H137" i="14" s="1"/>
  <c r="H130" i="14" s="1"/>
  <c r="H129" i="14" l="1"/>
  <c r="H172" i="14" s="1"/>
  <c r="H167" i="14"/>
  <c r="H173" i="14"/>
  <c r="H7" i="20"/>
  <c r="H8" i="20" s="1"/>
  <c r="G7" i="20"/>
  <c r="G8" i="20" s="1"/>
  <c r="H123" i="14"/>
  <c r="I45" i="14"/>
  <c r="H162" i="14" l="1"/>
  <c r="H125" i="14"/>
  <c r="H163" i="14"/>
  <c r="H117" i="14"/>
  <c r="I30" i="14"/>
  <c r="H106" i="14" l="1"/>
  <c r="H164" i="14"/>
  <c r="I32" i="14"/>
  <c r="I37" i="14" s="1"/>
  <c r="I75" i="14"/>
  <c r="I168" i="14" l="1"/>
  <c r="I38" i="14"/>
  <c r="I76" i="14" s="1"/>
  <c r="I73" i="14" s="1"/>
  <c r="I39" i="14"/>
  <c r="I82" i="14" l="1"/>
  <c r="I159" i="14"/>
  <c r="I139" i="14"/>
  <c r="I93" i="14"/>
  <c r="I174" i="14"/>
  <c r="I176" i="14" l="1"/>
  <c r="I169" i="14"/>
  <c r="I91" i="14"/>
  <c r="I94" i="14" s="1"/>
  <c r="I99" i="14" s="1"/>
  <c r="I100" i="14" s="1"/>
  <c r="I138" i="14"/>
  <c r="I137" i="14" s="1"/>
  <c r="I130" i="14" s="1"/>
  <c r="I129" i="14" l="1"/>
  <c r="I172" i="14" s="1"/>
  <c r="I167" i="14"/>
  <c r="I173" i="14"/>
  <c r="I7" i="20"/>
  <c r="I8" i="20" s="1"/>
  <c r="J45" i="14"/>
  <c r="I123" i="14"/>
  <c r="I117" i="14" l="1"/>
  <c r="I162" i="14"/>
  <c r="J30" i="14"/>
  <c r="I163" i="14"/>
  <c r="I125" i="14"/>
  <c r="J32" i="14" l="1"/>
  <c r="J37" i="14" s="1"/>
  <c r="J75" i="14"/>
  <c r="I106" i="14"/>
  <c r="I164" i="14"/>
  <c r="J168" i="14" l="1"/>
  <c r="J38" i="14"/>
  <c r="J76" i="14" s="1"/>
  <c r="J73" i="14" s="1"/>
  <c r="J39" i="14"/>
  <c r="J82" i="14" l="1"/>
  <c r="J159" i="14"/>
  <c r="J93" i="14"/>
  <c r="J174" i="14"/>
  <c r="J139" i="14"/>
  <c r="J91" i="14" l="1"/>
  <c r="J94" i="14" s="1"/>
  <c r="J99" i="14" s="1"/>
  <c r="J100" i="14" s="1"/>
  <c r="J138" i="14"/>
  <c r="J137" i="14" s="1"/>
  <c r="J130" i="14" s="1"/>
  <c r="J176" i="14"/>
  <c r="J169" i="14"/>
  <c r="J129" i="14" l="1"/>
  <c r="J172" i="14" s="1"/>
  <c r="J167" i="14"/>
  <c r="J173" i="14"/>
  <c r="J123" i="14"/>
  <c r="J7" i="20"/>
  <c r="J8" i="20" s="1"/>
  <c r="J163" i="14" l="1"/>
  <c r="J117" i="14"/>
  <c r="J162" i="14"/>
  <c r="J125" i="14"/>
  <c r="J164" i="14" l="1"/>
  <c r="J106" i="14"/>
</calcChain>
</file>

<file path=xl/sharedStrings.xml><?xml version="1.0" encoding="utf-8"?>
<sst xmlns="http://schemas.openxmlformats.org/spreadsheetml/2006/main" count="2429" uniqueCount="1522">
  <si>
    <t>AKTIVA CELKEM</t>
  </si>
  <si>
    <t>Pohledávky za upsaný základní kapitál</t>
  </si>
  <si>
    <t>Dlouhodobý majetek</t>
  </si>
  <si>
    <t>Dlouhodobý nehmotný majetek</t>
  </si>
  <si>
    <t>A.</t>
  </si>
  <si>
    <t>B.</t>
  </si>
  <si>
    <t>B.I.</t>
  </si>
  <si>
    <t>B.I.1.</t>
  </si>
  <si>
    <t>B.I.2.</t>
  </si>
  <si>
    <t>B.I.3.</t>
  </si>
  <si>
    <t>B.I.4.</t>
  </si>
  <si>
    <t>B.I.5.</t>
  </si>
  <si>
    <t>B.I.6.</t>
  </si>
  <si>
    <t>B.I.7.</t>
  </si>
  <si>
    <t>B.I.8.</t>
  </si>
  <si>
    <t>Zřizovací výdaje</t>
  </si>
  <si>
    <t>Nehmotné vsledy výzkumu a vývoje</t>
  </si>
  <si>
    <t>Software</t>
  </si>
  <si>
    <t>Ocenitelná práva</t>
  </si>
  <si>
    <t>Goodwill</t>
  </si>
  <si>
    <t>Jiný dlouhodobý nehmotný majetek</t>
  </si>
  <si>
    <t>Nedokončený dlouhodobý nehmotný majetek</t>
  </si>
  <si>
    <t>Poskytnuté zálohy na dlouhodobý nehmotný majetek</t>
  </si>
  <si>
    <t>Dlouhodobý hmotný majetek</t>
  </si>
  <si>
    <t>B.II.</t>
  </si>
  <si>
    <t>B.II.1.</t>
  </si>
  <si>
    <t>B.II.2</t>
  </si>
  <si>
    <t>B.II.3.</t>
  </si>
  <si>
    <t>B.II.4.</t>
  </si>
  <si>
    <t>B.II.5.</t>
  </si>
  <si>
    <t>B.II.6.</t>
  </si>
  <si>
    <t>B.II.7.</t>
  </si>
  <si>
    <t>B.II.8.</t>
  </si>
  <si>
    <t>B.II.9.</t>
  </si>
  <si>
    <t>Pozemky</t>
  </si>
  <si>
    <t>Stavby</t>
  </si>
  <si>
    <t>Samostatné movité věci a soubory movitých věcí</t>
  </si>
  <si>
    <t>Pěstitelské celky trvalých porostů</t>
  </si>
  <si>
    <t>Základní stádo a tažná zvířata</t>
  </si>
  <si>
    <t>Jiný dlouhodobý hmotný majetek</t>
  </si>
  <si>
    <t>Nedokončený dlouhodobý hmotný majetek a hmotné investice</t>
  </si>
  <si>
    <t>Poskytnuté zálohy na dlouhodobý hmotný majetek</t>
  </si>
  <si>
    <t>B.III.</t>
  </si>
  <si>
    <t>Dlouhodobý finanční majetek</t>
  </si>
  <si>
    <t>B.III.1.</t>
  </si>
  <si>
    <t>Podíly v ovládaných a řízených osobách</t>
  </si>
  <si>
    <t>B.III.2.</t>
  </si>
  <si>
    <t>Podíly v účetních jednotkách pod podstatným vlivem</t>
  </si>
  <si>
    <t>B.III.3.</t>
  </si>
  <si>
    <t>Ostatní dlouhodobé cenné papíry a podíly</t>
  </si>
  <si>
    <t>B.III.4.</t>
  </si>
  <si>
    <t>Půjčky a úvěry ovládaným a řízeným osobám a účetním jednotkám pod podst. vlivem</t>
  </si>
  <si>
    <t>B.III.5.</t>
  </si>
  <si>
    <t>Jiný dlouhodobý finanční majetek</t>
  </si>
  <si>
    <t>B.III.6.</t>
  </si>
  <si>
    <t>Pořizovaný dlouhodobý finanční majetek</t>
  </si>
  <si>
    <t>B.III.7.</t>
  </si>
  <si>
    <t>Poskytnuté zálohy na dlouhodobý finanční majetek</t>
  </si>
  <si>
    <t>C.</t>
  </si>
  <si>
    <t>Oběžná aktiva</t>
  </si>
  <si>
    <t>C.I.</t>
  </si>
  <si>
    <t>Zásoby</t>
  </si>
  <si>
    <t>C.I.1.</t>
  </si>
  <si>
    <t>Materiál</t>
  </si>
  <si>
    <t>C.I.2.</t>
  </si>
  <si>
    <t>Nedokončená výroba a polotovary</t>
  </si>
  <si>
    <t>C.I.3.</t>
  </si>
  <si>
    <t>Výrobky</t>
  </si>
  <si>
    <t>C.I.4.</t>
  </si>
  <si>
    <t>Zvířata</t>
  </si>
  <si>
    <t>C.I.5.</t>
  </si>
  <si>
    <t>Zboží</t>
  </si>
  <si>
    <t>C.I.6.</t>
  </si>
  <si>
    <t>Poskytnuté zálohy na zásoby</t>
  </si>
  <si>
    <t>C.II.</t>
  </si>
  <si>
    <t>Dlouhodobé pohledávky</t>
  </si>
  <si>
    <t>C.II.1.</t>
  </si>
  <si>
    <t>Pohledávky z obchodních vztahů</t>
  </si>
  <si>
    <t>C.II.2.</t>
  </si>
  <si>
    <t>Pohledávky za ovládanými a řízenými osobami</t>
  </si>
  <si>
    <t>C.II.3.</t>
  </si>
  <si>
    <t>Pohledávky za účetními jednotkami pod podstatným vlivem</t>
  </si>
  <si>
    <t>C.II.4.</t>
  </si>
  <si>
    <t>Pohledávky za společníky, členy družstva a za účastníky sdružení</t>
  </si>
  <si>
    <t>C.II.5.</t>
  </si>
  <si>
    <t>Dohadné účty aktivní</t>
  </si>
  <si>
    <t>C.II.6.</t>
  </si>
  <si>
    <t>Jiné pohledávky</t>
  </si>
  <si>
    <t>C.II.7.</t>
  </si>
  <si>
    <t>Odložená daňová pohledávka</t>
  </si>
  <si>
    <t>C.III.</t>
  </si>
  <si>
    <t>Krátkodobé pohledávky</t>
  </si>
  <si>
    <t>C.III.1.</t>
  </si>
  <si>
    <t>C.III.2.</t>
  </si>
  <si>
    <t>C.III.3.</t>
  </si>
  <si>
    <t>C.III.4.</t>
  </si>
  <si>
    <t>C.III.5.</t>
  </si>
  <si>
    <t>Sociální zabezpečení a zdravotní pojištění</t>
  </si>
  <si>
    <t>C.III.6.</t>
  </si>
  <si>
    <t>Stát - daňové pohledávky</t>
  </si>
  <si>
    <t>C.III.7.</t>
  </si>
  <si>
    <t>Ostatní poskytnuté zálohy</t>
  </si>
  <si>
    <t>C.III.8.</t>
  </si>
  <si>
    <t>C.III.9.</t>
  </si>
  <si>
    <t>C.IV.</t>
  </si>
  <si>
    <t>Krátkodobý finanční majetek</t>
  </si>
  <si>
    <t>C.IV.1.</t>
  </si>
  <si>
    <t>Peníze</t>
  </si>
  <si>
    <t>C.IV.2.</t>
  </si>
  <si>
    <t>Účty v bankách</t>
  </si>
  <si>
    <t>C.IV.3.</t>
  </si>
  <si>
    <t>Krátkodobé cenné papíry a podíly</t>
  </si>
  <si>
    <t>C.IV.4</t>
  </si>
  <si>
    <t>Pořizovaný krátkodobý finanční majetek</t>
  </si>
  <si>
    <t>D.I.</t>
  </si>
  <si>
    <t>Časové rozlišení</t>
  </si>
  <si>
    <t>D.I.1.</t>
  </si>
  <si>
    <t>Náklady příštích období</t>
  </si>
  <si>
    <t>D.I.2.</t>
  </si>
  <si>
    <t>Komplexní náklady příštích období</t>
  </si>
  <si>
    <t>D.I.3.</t>
  </si>
  <si>
    <t>Příjmy příštích období</t>
  </si>
  <si>
    <t>PASIVA CELKEM</t>
  </si>
  <si>
    <t>Vlastní kapitál</t>
  </si>
  <si>
    <t>A.I.</t>
  </si>
  <si>
    <t>Základní kapitál</t>
  </si>
  <si>
    <t>A.I.1.</t>
  </si>
  <si>
    <t>A.I.2.</t>
  </si>
  <si>
    <t>Vlastní akcie a vlastní obchodní podíly</t>
  </si>
  <si>
    <t>A..3.</t>
  </si>
  <si>
    <t>Změny základního kapitálu</t>
  </si>
  <si>
    <t>A.II.</t>
  </si>
  <si>
    <t>Kapitálové fondy</t>
  </si>
  <si>
    <t>A.II.1.</t>
  </si>
  <si>
    <t>Emisní ážio</t>
  </si>
  <si>
    <t>A.II.2.</t>
  </si>
  <si>
    <t>Ostatní kapitálové fondy</t>
  </si>
  <si>
    <t>A.II.3.</t>
  </si>
  <si>
    <t>Oceňovací rozdíly z přecenění majetku a závazků</t>
  </si>
  <si>
    <t>A.II.4.</t>
  </si>
  <si>
    <t>Oceňovací rozdíly z přecenění při přeměnách</t>
  </si>
  <si>
    <t>A.III.</t>
  </si>
  <si>
    <t>Rezervní fondy, nedělitelný fond a ostatní fondy ze zisku</t>
  </si>
  <si>
    <t>A.III.1.</t>
  </si>
  <si>
    <t>Zákonný rezervní fond</t>
  </si>
  <si>
    <t>A.III.2.</t>
  </si>
  <si>
    <t>Statutární fond a ostatní fondy</t>
  </si>
  <si>
    <t>A.IV.</t>
  </si>
  <si>
    <t>Výsledek hospodaření minulých let</t>
  </si>
  <si>
    <t>A.IV.1.</t>
  </si>
  <si>
    <t>Nerozdělený zisk minulých let</t>
  </si>
  <si>
    <t>A.IV.2.</t>
  </si>
  <si>
    <t>Neuhrazená ztráta minulých let</t>
  </si>
  <si>
    <t>A.V.</t>
  </si>
  <si>
    <t>Výsledek hospodaření běžného účetního období (+/-)</t>
  </si>
  <si>
    <t>Cizí zdroje</t>
  </si>
  <si>
    <t>Rezervy</t>
  </si>
  <si>
    <t>Rezervy podle zvláštních právních předpisů</t>
  </si>
  <si>
    <t>Rezerva na důchody a podobné závazky</t>
  </si>
  <si>
    <t>Rezerva na daň z příjmů</t>
  </si>
  <si>
    <t>Ostatní rezervy</t>
  </si>
  <si>
    <t>Dlouhodobé závazky</t>
  </si>
  <si>
    <t>Závazky z obchodních vztahů</t>
  </si>
  <si>
    <t>B.II.2.</t>
  </si>
  <si>
    <t>Závazky k ovládaným a řízeným osobám</t>
  </si>
  <si>
    <t>Závazky k účetním jednotkám pod podstatným vlivem</t>
  </si>
  <si>
    <t>Závazky ke společníkům, členům družstva a k účastníkům sdružení</t>
  </si>
  <si>
    <t>Dlouhodobé přijaté zálohy</t>
  </si>
  <si>
    <t>Vydané dluhopisy</t>
  </si>
  <si>
    <t>Dlouhodobé směnky k úhradě</t>
  </si>
  <si>
    <t>Dohadné účty pasivní</t>
  </si>
  <si>
    <t>Jiné závazky</t>
  </si>
  <si>
    <t>B.II.10.</t>
  </si>
  <si>
    <t>Odložený daňový závazek</t>
  </si>
  <si>
    <t>Krátkodobé závazky</t>
  </si>
  <si>
    <t>Závazky k zaměstnancům</t>
  </si>
  <si>
    <t>Závazky ze sociálního zabezpečení a zdravotního pojištění</t>
  </si>
  <si>
    <t>Stát - daňové závazky a dotace</t>
  </si>
  <si>
    <t>B.III.8.</t>
  </si>
  <si>
    <t>Krátkodobé přijaté zálohy</t>
  </si>
  <si>
    <t>B.III.9.</t>
  </si>
  <si>
    <t>B.III.10.</t>
  </si>
  <si>
    <t>B.III.11.</t>
  </si>
  <si>
    <t>B.IV.</t>
  </si>
  <si>
    <t>Bankovní úvěry a výpomoci</t>
  </si>
  <si>
    <t>B.IV.1.</t>
  </si>
  <si>
    <t>Bankovní úvěry dlouhodobé</t>
  </si>
  <si>
    <t>B.IV.2.</t>
  </si>
  <si>
    <t>Krátkodobé bankovní úvěry</t>
  </si>
  <si>
    <t>B.IV.3.</t>
  </si>
  <si>
    <t>Krátkodobé finanční výpomoci</t>
  </si>
  <si>
    <t>Výdaje příštích období</t>
  </si>
  <si>
    <t>Výnosy příštích období</t>
  </si>
  <si>
    <t>I.</t>
  </si>
  <si>
    <t>Tržby za prodej zboží</t>
  </si>
  <si>
    <t>Náklady vynaložené na prodané zboží</t>
  </si>
  <si>
    <t>+</t>
  </si>
  <si>
    <t>Obchodní marže</t>
  </si>
  <si>
    <t>II.</t>
  </si>
  <si>
    <t>Výkony</t>
  </si>
  <si>
    <t>II.1.</t>
  </si>
  <si>
    <t>Tržby za prodej vlastních výrobků a služeb</t>
  </si>
  <si>
    <t>II.2.</t>
  </si>
  <si>
    <t>Změna stavu zásob vlastní činnosti</t>
  </si>
  <si>
    <t>II.3.</t>
  </si>
  <si>
    <t>Aktivace</t>
  </si>
  <si>
    <t>Výrobní spotřeba</t>
  </si>
  <si>
    <t>B.1.</t>
  </si>
  <si>
    <t>Spotřeba materiálu a energie</t>
  </si>
  <si>
    <t>B.2.</t>
  </si>
  <si>
    <t>Služby</t>
  </si>
  <si>
    <t>Přidaná hodnota</t>
  </si>
  <si>
    <t>Osobní náklady</t>
  </si>
  <si>
    <t>C.1.</t>
  </si>
  <si>
    <t>Mzdové náklady</t>
  </si>
  <si>
    <t>C.2.</t>
  </si>
  <si>
    <t>Odměny členům orgánů společnosti a družstva</t>
  </si>
  <si>
    <t>C.3.</t>
  </si>
  <si>
    <t>Náklady na sociální zabezpečení a zdravotní pojištění</t>
  </si>
  <si>
    <t>C.4.</t>
  </si>
  <si>
    <t>Sociální náklady</t>
  </si>
  <si>
    <t>D.</t>
  </si>
  <si>
    <t>Daně a poplatky</t>
  </si>
  <si>
    <t>E.</t>
  </si>
  <si>
    <t>Odpisy dlouhodobého nehmotného a hmotného majetku</t>
  </si>
  <si>
    <t>III.</t>
  </si>
  <si>
    <t>Tržby z prodeje dlouhodobého majetku a materiálu</t>
  </si>
  <si>
    <t>III.1.</t>
  </si>
  <si>
    <t>Tržby z prodeje dlouhodobého majetku</t>
  </si>
  <si>
    <t>III.2.</t>
  </si>
  <si>
    <t>Tržby z prodeje materiálu</t>
  </si>
  <si>
    <t>F.</t>
  </si>
  <si>
    <t>Zůstatková cena prodaného dlouhodobého majetku a materiálu</t>
  </si>
  <si>
    <t>F.1.</t>
  </si>
  <si>
    <t>Zůstatková cena prodaného dlouhodobého majetku</t>
  </si>
  <si>
    <t>F.2.</t>
  </si>
  <si>
    <t>Prodaný materiál</t>
  </si>
  <si>
    <t>G.</t>
  </si>
  <si>
    <t>Změna stavu rezerv a opravných položek v provozní oblasti a komplexních nákladů přístích období</t>
  </si>
  <si>
    <t>IV.</t>
  </si>
  <si>
    <t>Ostatní provozní výnosy</t>
  </si>
  <si>
    <t>H.</t>
  </si>
  <si>
    <t>Ostatní provozní náklady</t>
  </si>
  <si>
    <t>V.</t>
  </si>
  <si>
    <t>Převod provozních výnosů</t>
  </si>
  <si>
    <t>Převod provozních nákladů</t>
  </si>
  <si>
    <t>*</t>
  </si>
  <si>
    <t>Provozní výsledek hospodaření</t>
  </si>
  <si>
    <t>VI.</t>
  </si>
  <si>
    <t>Tržby z prodeje cenných papírů a podílů</t>
  </si>
  <si>
    <t>J.</t>
  </si>
  <si>
    <t>Prodané cenné papíry a podíly</t>
  </si>
  <si>
    <t>VII.</t>
  </si>
  <si>
    <t>Výnosy z dlouhodobého finančního majetku</t>
  </si>
  <si>
    <t>VII.1.</t>
  </si>
  <si>
    <t>Výnosy z podílu v ovládaných a řízených osobách a v účetních jednotkách pod podstatným vlivem</t>
  </si>
  <si>
    <t>VII.2.</t>
  </si>
  <si>
    <t>Výnosy z ostatních dlouhodobých CP a podílů</t>
  </si>
  <si>
    <t>VII.3.</t>
  </si>
  <si>
    <t>Výnosy z ostatního dlouhodobého finančního majetku</t>
  </si>
  <si>
    <t>VIII.</t>
  </si>
  <si>
    <t>Výnosy z krátkodobého finančního majetku</t>
  </si>
  <si>
    <t>K.</t>
  </si>
  <si>
    <t>Náklady z finančního majetku</t>
  </si>
  <si>
    <t>IX.</t>
  </si>
  <si>
    <t>Výnosy z přecenění cenných papírů a derivátů</t>
  </si>
  <si>
    <t>L.</t>
  </si>
  <si>
    <t>Náklady z přecenění cenných papírů a derivátů</t>
  </si>
  <si>
    <t>M.</t>
  </si>
  <si>
    <t>Změna stavu rezerv a opravných položek ve finanční oblasti</t>
  </si>
  <si>
    <t>X.</t>
  </si>
  <si>
    <t>Výnosové úroky</t>
  </si>
  <si>
    <t>N.</t>
  </si>
  <si>
    <t>Nákladové úroky</t>
  </si>
  <si>
    <t>XI.</t>
  </si>
  <si>
    <t>Ostatní finanční výnosy</t>
  </si>
  <si>
    <t>O.</t>
  </si>
  <si>
    <t>Ostatní finanční náklady</t>
  </si>
  <si>
    <t>XII.</t>
  </si>
  <si>
    <t>Převod finančních výnosů</t>
  </si>
  <si>
    <t>P.</t>
  </si>
  <si>
    <t>Převod finančních nákladů</t>
  </si>
  <si>
    <t>Finanční výsledek hospodaření</t>
  </si>
  <si>
    <t>Q.</t>
  </si>
  <si>
    <t>Daň z příjmů za běžnou činnost</t>
  </si>
  <si>
    <t>Q.1.</t>
  </si>
  <si>
    <t xml:space="preserve">   splatná za běž.činnost</t>
  </si>
  <si>
    <t>Q.2.</t>
  </si>
  <si>
    <t xml:space="preserve">   odložená za běž. činnost</t>
  </si>
  <si>
    <t>**</t>
  </si>
  <si>
    <t>Výsledek hospodaření za běžnou činnost</t>
  </si>
  <si>
    <t>XIII.</t>
  </si>
  <si>
    <t>Mimořádné výnosy</t>
  </si>
  <si>
    <t>R.</t>
  </si>
  <si>
    <t>Mimořádné náklady</t>
  </si>
  <si>
    <t>S.</t>
  </si>
  <si>
    <t>Daň z příjmů z mimořádné činnosti</t>
  </si>
  <si>
    <t>S.1.</t>
  </si>
  <si>
    <t xml:space="preserve">   splatná za mim.činnost</t>
  </si>
  <si>
    <t>S.2.</t>
  </si>
  <si>
    <t xml:space="preserve">   odložená za mim. činnost</t>
  </si>
  <si>
    <t>Mimořádný výsledek hospodaření</t>
  </si>
  <si>
    <t>T.</t>
  </si>
  <si>
    <t>Převod podílu na hospodářském výsledku společníkům</t>
  </si>
  <si>
    <t>***</t>
  </si>
  <si>
    <t>Výsledek hospodaření za účetní období (+/-)</t>
  </si>
  <si>
    <t>Horizontální analýza</t>
  </si>
  <si>
    <t>Rok</t>
  </si>
  <si>
    <t>Aktiva celkem</t>
  </si>
  <si>
    <t>Oběžný majetek</t>
  </si>
  <si>
    <t>VÝVOJ AKTIV</t>
  </si>
  <si>
    <t>VÝVOJ PASIV</t>
  </si>
  <si>
    <t>Pasiva celkem</t>
  </si>
  <si>
    <t>Cizí kapitál</t>
  </si>
  <si>
    <t>Vertikální analýza</t>
  </si>
  <si>
    <t>Vývoj výsledku hospodaření před zdaněním</t>
  </si>
  <si>
    <t>Aktiva</t>
  </si>
  <si>
    <t>Dl. majetek</t>
  </si>
  <si>
    <t>Dl. majetek hmotný</t>
  </si>
  <si>
    <t>Dl. majetek nehmotný</t>
  </si>
  <si>
    <t>Dl. majetek finanční</t>
  </si>
  <si>
    <t>Dl. pohledávky</t>
  </si>
  <si>
    <t>Kr. pohledávky</t>
  </si>
  <si>
    <t>Kr. majetek finanční</t>
  </si>
  <si>
    <t>Časové rozlišení aktiv</t>
  </si>
  <si>
    <t>Pasiva</t>
  </si>
  <si>
    <t>Fondy</t>
  </si>
  <si>
    <t>VH minulých let</t>
  </si>
  <si>
    <t>VH běžného úč. období</t>
  </si>
  <si>
    <t>Dl. závazky</t>
  </si>
  <si>
    <t>Kr. závazky</t>
  </si>
  <si>
    <t>Časové rozlišení pasiv</t>
  </si>
  <si>
    <t>EBIT</t>
  </si>
  <si>
    <t>ROA</t>
  </si>
  <si>
    <t>ROE</t>
  </si>
  <si>
    <t>ROCE</t>
  </si>
  <si>
    <t>ROS</t>
  </si>
  <si>
    <t>zisk před zdaněním + nákladové úroky</t>
  </si>
  <si>
    <t>EBIT / celková aktiva</t>
  </si>
  <si>
    <t>EBIT / vlastní kapitál + rezervy + dlouhodobé závazky + bankovní úvěry</t>
  </si>
  <si>
    <t>UKAZATELE RENTABILITY</t>
  </si>
  <si>
    <t>UKAZATELE AKTIVITY</t>
  </si>
  <si>
    <t>Obrat aktiv</t>
  </si>
  <si>
    <t>Obrat zásob</t>
  </si>
  <si>
    <t>Doba obratu aktiv</t>
  </si>
  <si>
    <t>Doba obratu zásob</t>
  </si>
  <si>
    <t>Tržby / aktiva</t>
  </si>
  <si>
    <t>Tržby / zásoby</t>
  </si>
  <si>
    <t>Aktiva / průměrné denní tržby</t>
  </si>
  <si>
    <t>Průměrné denní tržby</t>
  </si>
  <si>
    <t>Tržby za prodej vlastních výrobků a služe</t>
  </si>
  <si>
    <t>Tržby celkem</t>
  </si>
  <si>
    <t>Zásoby / průměrné denní tržby</t>
  </si>
  <si>
    <t>UKAZATELE LIKVIDITY</t>
  </si>
  <si>
    <t>Běžná likvidita</t>
  </si>
  <si>
    <t>Pohotová likvidia</t>
  </si>
  <si>
    <t>Hotovostní likdivida</t>
  </si>
  <si>
    <t>oběžná aktiva / krátkodobé závazky</t>
  </si>
  <si>
    <t>peněžní prostředky / krátkodobé závazky</t>
  </si>
  <si>
    <t>UKAZATELE ZADLUŽENOSTI</t>
  </si>
  <si>
    <t>Úrokové krytí</t>
  </si>
  <si>
    <t>cizí zdroje / vlastní kapitál</t>
  </si>
  <si>
    <t>cizí zdroje / aktiva</t>
  </si>
  <si>
    <t>EBIT / nákladové úroky</t>
  </si>
  <si>
    <t>INDEX BONITY</t>
  </si>
  <si>
    <t>aktiva</t>
  </si>
  <si>
    <t>Zisk (před zdaněním)</t>
  </si>
  <si>
    <t>Cash flow</t>
  </si>
  <si>
    <t>Výnosy (výkony)</t>
  </si>
  <si>
    <t>Potřebná data:</t>
  </si>
  <si>
    <t>Cash flow/cizí zdroje</t>
  </si>
  <si>
    <t>aktiva/Cizí zdroje</t>
  </si>
  <si>
    <t>Zisk/aktiva</t>
  </si>
  <si>
    <t>Zisk/výnosy</t>
  </si>
  <si>
    <t>Zásoby/výnosy</t>
  </si>
  <si>
    <t>Výnosy/aktiva</t>
  </si>
  <si>
    <t>Index bonity</t>
  </si>
  <si>
    <t>VZOREC:</t>
  </si>
  <si>
    <t>IB = 1,5 * x1 + 0,08 * x2 + 10 * x3 + 5 * x4 + 0,3 * x5 + 0,1* x6</t>
  </si>
  <si>
    <t>Váha</t>
  </si>
  <si>
    <t>Hodnocení ekonomické situace</t>
  </si>
  <si>
    <t>Výsledek</t>
  </si>
  <si>
    <t>Hodnocení</t>
  </si>
  <si>
    <t>Společnost</t>
  </si>
  <si>
    <t xml:space="preserve">IB </t>
  </si>
  <si>
    <t>Extrémně špatná ekonomická situace</t>
  </si>
  <si>
    <t>Bankrotní společnost</t>
  </si>
  <si>
    <t>Velmi špatná ekonomická situace</t>
  </si>
  <si>
    <t>Špatná ekonomická situace</t>
  </si>
  <si>
    <t>Problematická ekonomická situace</t>
  </si>
  <si>
    <t>Bonitní společnost</t>
  </si>
  <si>
    <t>Dobrá ekonomická situace</t>
  </si>
  <si>
    <t>Velmi dobrá ekonomická situace</t>
  </si>
  <si>
    <t>Extrémně dobrá ekonomická situace</t>
  </si>
  <si>
    <t>Index IN95</t>
  </si>
  <si>
    <t>oběžná aktiva</t>
  </si>
  <si>
    <t>Krátkodobý cizí kapitál</t>
  </si>
  <si>
    <t>Závazky po lhůtě splatnosti</t>
  </si>
  <si>
    <t>Výnosy</t>
  </si>
  <si>
    <t>Aktiva/cizí zdroje</t>
  </si>
  <si>
    <t>EBIT/nákladové úroky (tj. úrokové krytí)</t>
  </si>
  <si>
    <t>EBIT/aktiva (tj. ROA)</t>
  </si>
  <si>
    <t>Oběžná aktiva/krátkodobý cizí kapitál</t>
  </si>
  <si>
    <t>Závazky po splatnosti / výnosy</t>
  </si>
  <si>
    <t>0,22 * A + 0,11 * B + 8,33 * C + 0,52 * D + 0,10 * E + (-16,80) * F</t>
  </si>
  <si>
    <t xml:space="preserve">IN95 </t>
  </si>
  <si>
    <t>Bonitní podnik</t>
  </si>
  <si>
    <t>Šedá zóna</t>
  </si>
  <si>
    <t>Bankrotní podnik</t>
  </si>
  <si>
    <t>Index IN99</t>
  </si>
  <si>
    <t>Index bonity N99</t>
  </si>
  <si>
    <t>Index bonity N95</t>
  </si>
  <si>
    <t>Modifikovaný Tafflerův index</t>
  </si>
  <si>
    <t>kr. závzaky</t>
  </si>
  <si>
    <t>cizí kapitál</t>
  </si>
  <si>
    <t>tržby (výkony)</t>
  </si>
  <si>
    <t>Index Tm</t>
  </si>
  <si>
    <t>Krátkodobé závazky/aktiva</t>
  </si>
  <si>
    <t>Tržby/aktiva</t>
  </si>
  <si>
    <t>EBIT/krátkodobé závazky</t>
  </si>
  <si>
    <t>Oběžná aktiva/cizí kapitál</t>
  </si>
  <si>
    <t xml:space="preserve">T </t>
  </si>
  <si>
    <t xml:space="preserve">IN99 </t>
  </si>
  <si>
    <t>Podnik tvoří hodnotu</t>
  </si>
  <si>
    <t>Podnik spíše tvoří hodnotu</t>
  </si>
  <si>
    <t>Podnik spíše netvoří hodnotu</t>
  </si>
  <si>
    <t>Podnik netvoří hodnotu</t>
  </si>
  <si>
    <t>Data pro Zcz</t>
  </si>
  <si>
    <t>Tržby</t>
  </si>
  <si>
    <t>Celkové závazky</t>
  </si>
  <si>
    <t>Nerozdělený zisk</t>
  </si>
  <si>
    <t>Čistý pracovní kapitál</t>
  </si>
  <si>
    <t>Závazky po splatnosti</t>
  </si>
  <si>
    <t>Výnosy*</t>
  </si>
  <si>
    <t xml:space="preserve">*Výnosy vstupují do posledního ukazatele, u nějch je čitatel 0, tudíž celý zlomek je také 0 - irelevatnní výše výnosů </t>
  </si>
  <si>
    <t>Altmanova analýza - pro české společnosti</t>
  </si>
  <si>
    <t>Zcz</t>
  </si>
  <si>
    <t>EBIT / aktiva</t>
  </si>
  <si>
    <t>Vlastní kapitál / celkové závazky</t>
  </si>
  <si>
    <t>Nerozdělený zisk / aktiva</t>
  </si>
  <si>
    <t>Čistý pracovní kapitál / aktiva</t>
  </si>
  <si>
    <t>Zcz= &lt;2,99; ∞)</t>
  </si>
  <si>
    <t>bonitní podnik</t>
  </si>
  <si>
    <t>Zcz = (1,8;2,99)</t>
  </si>
  <si>
    <t>šedá zóna</t>
  </si>
  <si>
    <t>Zcz = (-∞ ;1,8&gt;</t>
  </si>
  <si>
    <t>bankortní podnik</t>
  </si>
  <si>
    <t>3,3 * A + 0,99 * B + 0,6 * C + 1,4 * D + 6,56 * D + E -1 * F</t>
  </si>
  <si>
    <t>Obrat dlouhodobého majetku</t>
  </si>
  <si>
    <t>Tržby / dlouhodobý majetek</t>
  </si>
  <si>
    <t>Doba obratu pohledávek</t>
  </si>
  <si>
    <t>Obrat pohledávek</t>
  </si>
  <si>
    <t>Doba obratu závazků</t>
  </si>
  <si>
    <t>Tržby / pohledávky</t>
  </si>
  <si>
    <t>Závazky / průměrné denní tržby</t>
  </si>
  <si>
    <t>Pohledávky / průměrné denní tržby</t>
  </si>
  <si>
    <t>(krátkodobá aktiva - zásoby) / krátkodobé závazky</t>
  </si>
  <si>
    <t>Celková zadluženost</t>
  </si>
  <si>
    <t>Míra zadlužení</t>
  </si>
  <si>
    <t>Ukazatel zadluženosti</t>
  </si>
  <si>
    <t>vlastní kapitál / aktiva</t>
  </si>
  <si>
    <t>Výsledek hospodaření za účetní období</t>
  </si>
  <si>
    <t xml:space="preserve"> + daň z příjmů za mimořádnou činnost</t>
  </si>
  <si>
    <t xml:space="preserve"> + daň z příjmů za běžnou činnost</t>
  </si>
  <si>
    <t xml:space="preserve"> = Zisk před zdaněním (EBT)</t>
  </si>
  <si>
    <t xml:space="preserve"> + nákladové úroky</t>
  </si>
  <si>
    <t xml:space="preserve"> = Získ před úroky a zdaněním (EBIT)</t>
  </si>
  <si>
    <t xml:space="preserve"> + odpisy</t>
  </si>
  <si>
    <t xml:space="preserve"> = Zisk před úroky, odpisy a zdaněním (EBITDA)</t>
  </si>
  <si>
    <t>Výsledek hospodaření před zdaněním</t>
  </si>
  <si>
    <t>Čistý obrat za účetní období</t>
  </si>
  <si>
    <t>Oceňovací rozdíl k nabytému majetku</t>
  </si>
  <si>
    <t>Pohotová likvidita</t>
  </si>
  <si>
    <t>čím vyšší, tím je lepší situace v podniku z hlediska produkce</t>
  </si>
  <si>
    <r>
      <t xml:space="preserve">hodnoty by měly růst a neměl by být nižší než </t>
    </r>
    <r>
      <rPr>
        <b/>
        <sz val="11"/>
        <color theme="1"/>
        <rFont val="Calibri"/>
        <family val="2"/>
        <charset val="238"/>
        <scheme val="minor"/>
      </rPr>
      <t>5 %</t>
    </r>
  </si>
  <si>
    <r>
      <t xml:space="preserve">hodnoty by měly být vyšší než </t>
    </r>
    <r>
      <rPr>
        <b/>
        <sz val="11"/>
        <color theme="1"/>
        <rFont val="Calibri"/>
        <family val="2"/>
        <charset val="238"/>
        <scheme val="minor"/>
      </rPr>
      <t>0,08</t>
    </r>
  </si>
  <si>
    <t>Optimální vývoj ukazatele je vyšší než hodnota 2. Čím vyšší je úrokové krytí, tím je finanční situace firmy lepší.</t>
  </si>
  <si>
    <r>
      <t xml:space="preserve">Doporučená hodnota se pohybuje v rozmezí </t>
    </r>
    <r>
      <rPr>
        <b/>
        <sz val="11"/>
        <color theme="1"/>
        <rFont val="Calibri"/>
        <family val="2"/>
        <charset val="238"/>
        <scheme val="minor"/>
      </rPr>
      <t>30 - 60 %</t>
    </r>
  </si>
  <si>
    <r>
      <t xml:space="preserve">Nabývá-li tento ukazatel hodnot převyšujících 1, potom jsou preferovány cizí zdroje, je-li tomu naopak, podnik preferuje vlastní zdroje financování. Zdravá hodnota ukazatele převyšuje </t>
    </r>
    <r>
      <rPr>
        <b/>
        <sz val="11"/>
        <color theme="1"/>
        <rFont val="Calibri"/>
        <family val="2"/>
        <charset val="238"/>
        <scheme val="minor"/>
      </rPr>
      <t>80 %</t>
    </r>
    <r>
      <rPr>
        <sz val="11"/>
        <color theme="1"/>
        <rFont val="Calibri"/>
        <family val="2"/>
        <charset val="238"/>
        <scheme val="minor"/>
      </rPr>
      <t>.</t>
    </r>
  </si>
  <si>
    <t>0,6 - 1,1</t>
  </si>
  <si>
    <t>1 - 1,5</t>
  </si>
  <si>
    <t>1,5 - 2,5</t>
  </si>
  <si>
    <t>Korigovaný provozní výsledek hospodaření (před daní)</t>
  </si>
  <si>
    <t>Daňová sazba</t>
  </si>
  <si>
    <t>Odpisy</t>
  </si>
  <si>
    <t>Investice netto</t>
  </si>
  <si>
    <t>Upravený pracovní kapitál</t>
  </si>
  <si>
    <t>Roční tempo růstu</t>
  </si>
  <si>
    <t>KONTROLNÍ ŘÁDEK</t>
  </si>
  <si>
    <t>Zásoby celkem</t>
  </si>
  <si>
    <t>Pohledávky za odběrateli</t>
  </si>
  <si>
    <t>Krátkodobé závazky neúročené celkem</t>
  </si>
  <si>
    <t>Provozně nutné peníze</t>
  </si>
  <si>
    <t>Provozně nutná likvidita</t>
  </si>
  <si>
    <t>Pohledávky</t>
  </si>
  <si>
    <t>Krátkodobé závazky neúročené</t>
  </si>
  <si>
    <t>Nehmotný majetek</t>
  </si>
  <si>
    <t>Stav majetku ke konci roku</t>
  </si>
  <si>
    <t>Investice brutto</t>
  </si>
  <si>
    <t>Korigovaný provozní VH před daní</t>
  </si>
  <si>
    <t>Hmotné movité věci</t>
  </si>
  <si>
    <t>Zůstatková hodnota prodaného zařízení</t>
  </si>
  <si>
    <t>Investovaný kapitál provozně nutný</t>
  </si>
  <si>
    <t>Dlouhodobý majetek provozně nutný</t>
  </si>
  <si>
    <t>Ostatní aktiva (čas. Rozlišení)</t>
  </si>
  <si>
    <t>Ostatní pasiva (čas. Rozlišení)</t>
  </si>
  <si>
    <t>Provozně nuná likvidace</t>
  </si>
  <si>
    <t>Pracovní kaptál provozně nutný</t>
  </si>
  <si>
    <t>Vyloučení VH z prodeje majetku</t>
  </si>
  <si>
    <t>Vyloučení mimořádných výnosů</t>
  </si>
  <si>
    <t>Peněžní prostředky v rozvaze</t>
  </si>
  <si>
    <t>Likvidita (peníze/krátkodobé závazky)</t>
  </si>
  <si>
    <t>1) TRŽBY</t>
  </si>
  <si>
    <t>Průměrné tempo růstu za minulost a plán</t>
  </si>
  <si>
    <t>2) ZISKOVÁ MARŽE</t>
  </si>
  <si>
    <t>Korigovaný provozní zisk před odpisy s daní</t>
  </si>
  <si>
    <t>Korigovaný provozní výsledek hospodaření</t>
  </si>
  <si>
    <t>a) Prognóza ziskové marže shora</t>
  </si>
  <si>
    <t>Zisková marže (z KPVH před odpisy a daní)</t>
  </si>
  <si>
    <t>b) Prognóza ziskové marže zdola</t>
  </si>
  <si>
    <t>Ostatní provozní položky (změna rezerv)</t>
  </si>
  <si>
    <t>Soc. a zdrav. zabezpečení</t>
  </si>
  <si>
    <t>Průměrné tempo růstu výk. spotř. za minulost a plán</t>
  </si>
  <si>
    <t>Průměrná inflace</t>
  </si>
  <si>
    <t>KPVH před odpisy a daní (tržby - náklady)</t>
  </si>
  <si>
    <t xml:space="preserve">Zisk. Marže z KPVH před odpisy a daní </t>
  </si>
  <si>
    <t>a) Doba obratu ve dnech (vztaženo k tržbám</t>
  </si>
  <si>
    <t>materiál</t>
  </si>
  <si>
    <t>zboží</t>
  </si>
  <si>
    <t>závazky z obch. styku</t>
  </si>
  <si>
    <t>závazky k zaměstnancům</t>
  </si>
  <si>
    <t>závazky se soc. zabezpečení</t>
  </si>
  <si>
    <t>stát - daňové závazky a dotace</t>
  </si>
  <si>
    <t>b) Provozně nutné peníze</t>
  </si>
  <si>
    <t xml:space="preserve">Peníze </t>
  </si>
  <si>
    <t>Likvidita</t>
  </si>
  <si>
    <t>c) Upravený pracovní kapitál</t>
  </si>
  <si>
    <t>Peněžní prostředy provozně nutné</t>
  </si>
  <si>
    <t>Koeficient náročnosti růstu tržeb na růstu prac. kap.</t>
  </si>
  <si>
    <t>3) PRACOVNÍ KAPITÁL</t>
  </si>
  <si>
    <t>4) DLOUHODOBÝ MAJETEK A INVESTICE</t>
  </si>
  <si>
    <t>a) Výpočet koeficientů náročnosti za minulé období</t>
  </si>
  <si>
    <t xml:space="preserve">Součet tržeb za roky </t>
  </si>
  <si>
    <t>až</t>
  </si>
  <si>
    <t>Investiční náročnost tržeb 2013-2016</t>
  </si>
  <si>
    <t>b) Odhad investic pro budoucí období</t>
  </si>
  <si>
    <t>Odhad podle minulého koeficientu náročnosti:</t>
  </si>
  <si>
    <t>Majetek</t>
  </si>
  <si>
    <t>Celkem</t>
  </si>
  <si>
    <t>Odhad podle koeficientu náročnosti u podobných podniků:</t>
  </si>
  <si>
    <t>Odhad podle názoru podnikového managementu:</t>
  </si>
  <si>
    <t>Výsledný odhad investic (průměr z obvyklých investic a odhadu managementu):</t>
  </si>
  <si>
    <t>Výsledný koeficient náročnosti tržeb na investice:</t>
  </si>
  <si>
    <t>Minulý koeficent náročnosti</t>
  </si>
  <si>
    <t>Odhad investic brutto pro plán tržeb v letech 2017-2021</t>
  </si>
  <si>
    <t>c) Plán dlouhodobého majetku, investic a odpisů</t>
  </si>
  <si>
    <t>Původní  - odpisy</t>
  </si>
  <si>
    <t xml:space="preserve">             - zůstatková hodnota k 31. 12.</t>
  </si>
  <si>
    <t>Nový      - investice brutto</t>
  </si>
  <si>
    <t xml:space="preserve">             - pořizovací hodnota k 31. 12.</t>
  </si>
  <si>
    <t xml:space="preserve">             - odpisy (1/4 z pořizovací hodnoty k 1.1.)</t>
  </si>
  <si>
    <t xml:space="preserve">             - investice netto</t>
  </si>
  <si>
    <t>Celkem  - odpisy</t>
  </si>
  <si>
    <t xml:space="preserve">             - zůstatková hodnota</t>
  </si>
  <si>
    <t>Původní - odpisy</t>
  </si>
  <si>
    <t xml:space="preserve">             - odpisy (1/30 z pořizovací hodnoty k 1.1.)</t>
  </si>
  <si>
    <t xml:space="preserve">             - odpisy (1/6 z pořizovací hodnoty k 1.1.)</t>
  </si>
  <si>
    <t>Pozemky - zůstatková hodnota k 31. 12.</t>
  </si>
  <si>
    <t>Zůstatková hodnota k 31. 12.</t>
  </si>
  <si>
    <t>Celkové investice brutto do dlouhodobého majetku</t>
  </si>
  <si>
    <t>Celkové investice netto do dlouhodobého majetku</t>
  </si>
  <si>
    <t>Úroková míra z dluhopisů</t>
  </si>
  <si>
    <t>Úroková míra z dlouhodobých úvěrů</t>
  </si>
  <si>
    <t>Úroková míra z krátkodobých úvěrů</t>
  </si>
  <si>
    <t>Předpokládaná daň z příjmů</t>
  </si>
  <si>
    <t>a) Hlavní činnost - náklady a výnosy spojené s provozním majetkem</t>
  </si>
  <si>
    <t>Položka</t>
  </si>
  <si>
    <t xml:space="preserve">Odpisy </t>
  </si>
  <si>
    <t>b) Náklady na cizí kapitál</t>
  </si>
  <si>
    <t>Výnosové úroky z účtu u banky</t>
  </si>
  <si>
    <t>VH z neprovozního majetku a mimořádný VH</t>
  </si>
  <si>
    <t>d) Celkový výsledek hospodaření</t>
  </si>
  <si>
    <t>Celkový výsledek hospodaření před daní</t>
  </si>
  <si>
    <t xml:space="preserve">Daň </t>
  </si>
  <si>
    <t>Výsledek hospodaření za účetní období po dani</t>
  </si>
  <si>
    <t>5) ANALÝZA RENTABILITY PROVOZNĚ NUTNÉHO INVESTOVANÉHO KAPITÁLU</t>
  </si>
  <si>
    <t>a) Korigovaný provozní zisk a zisková marže po odpisech a po upravené dani</t>
  </si>
  <si>
    <t>Korigovaný provozní zisk po odpisech a po dani</t>
  </si>
  <si>
    <t>Zisková marže z KPVH po odpisech a po dani</t>
  </si>
  <si>
    <t xml:space="preserve">Tempo růstu KPVH po odpisech a dani </t>
  </si>
  <si>
    <t>b) Provozně nutný investovaný kapitál a rentabilita investovaného kapitálu</t>
  </si>
  <si>
    <t>Investovaný kapitál provozně nutný k 31. 12.</t>
  </si>
  <si>
    <t>Obrat investovaného kapitálu provozně nutného</t>
  </si>
  <si>
    <t>Rentabilita investovaného kapitálu</t>
  </si>
  <si>
    <t>x</t>
  </si>
  <si>
    <t xml:space="preserve"> -dluhopisy</t>
  </si>
  <si>
    <t xml:space="preserve"> -vklady u banky</t>
  </si>
  <si>
    <t>PLÁNOVANÁ VÝSLEDOVKA</t>
  </si>
  <si>
    <t>PLÁNOVANÝ VÝKAZ PENĚŽNÍCH TOKŮ</t>
  </si>
  <si>
    <t>Stav peněžních prostředků na počátku období</t>
  </si>
  <si>
    <t>Účetní výsledek hospodaření po zdanění</t>
  </si>
  <si>
    <t>Úpravy o nepeněžní operace</t>
  </si>
  <si>
    <t>Odpisy dlouhodobého majetku</t>
  </si>
  <si>
    <t>Změna stavu opravných položek a rezerv</t>
  </si>
  <si>
    <t>Zisk (ztráta) z prodeje dlouhodobého majetku</t>
  </si>
  <si>
    <t>Úpravy oběžných aktiv</t>
  </si>
  <si>
    <t>Změna stavu pohledávek a aktivních účtů čas. rozlišení</t>
  </si>
  <si>
    <t>Změna stavu krátk. závazků a pasivních účtů čas. rozlišení</t>
  </si>
  <si>
    <t>Změna stavu zásob</t>
  </si>
  <si>
    <t>Změna stavu krátkodobých cenných papírů</t>
  </si>
  <si>
    <t>Peněžní tok z provozní činnosti celkem</t>
  </si>
  <si>
    <t>PENĚŽNÍ TOK Z INVESTIČNÍ ČINNOSTI</t>
  </si>
  <si>
    <t>Nabytí dlouhodobého majetku</t>
  </si>
  <si>
    <t>Nabytí DHM a DNM</t>
  </si>
  <si>
    <t>Změna dlouhodobého finančního majetku</t>
  </si>
  <si>
    <t>Příjmy z prodeje DHM a DNM</t>
  </si>
  <si>
    <t>Peněžní tok z investiční činnosti celkem</t>
  </si>
  <si>
    <t>PENĚŽNÍ TOK Z FINANČNÍ ČINNOSTI</t>
  </si>
  <si>
    <t>Dopady změn dlouhodobých závazků a bank. úvěrů</t>
  </si>
  <si>
    <t>Změna stavu dlouhodobých úvěrů</t>
  </si>
  <si>
    <t>Změna stavu krátkodobých bankovních úvěrů</t>
  </si>
  <si>
    <t>Změna dluhopisů</t>
  </si>
  <si>
    <t>Dopady změn vlastního kapitálu</t>
  </si>
  <si>
    <t>Zvýšení základního kapitálu, ážia, event. rezervního fondu</t>
  </si>
  <si>
    <t>Výplata dividend a podílů ze zisku</t>
  </si>
  <si>
    <t>Peněžní tok z finanční činnosti celkem</t>
  </si>
  <si>
    <t>PENĚŽNÍ TOK CELKEM</t>
  </si>
  <si>
    <t>Stav peněžních prostředků na konci období</t>
  </si>
  <si>
    <t>PENĚŽNÍ TOK Z HLAVNÍ VÝDĚLEČNÉ ČINNOSTI</t>
  </si>
  <si>
    <t>a) Peněžní tok z provozního majetku</t>
  </si>
  <si>
    <t>PENĚŽNÍ TOK Z PROVOZU</t>
  </si>
  <si>
    <t>Korigovaný provozní VH po dani (KPVH)</t>
  </si>
  <si>
    <t>Odpisy dlouhodobého majetku (provozně nutného)</t>
  </si>
  <si>
    <t>Změna zůstatků rezerv</t>
  </si>
  <si>
    <t>Úpravy oběžných aktiv (provozně nutných)</t>
  </si>
  <si>
    <t>Změna stavu pohledávek</t>
  </si>
  <si>
    <t>Změna stavu krátkodobých závazků neúročených</t>
  </si>
  <si>
    <t>Pen.tok z prov. činnosti celkem (bez nutných peněz)</t>
  </si>
  <si>
    <t>2) INVESTIČNÍ ČINNOST</t>
  </si>
  <si>
    <t>Nabytí dlouhodobého majetku (provozně nutného)</t>
  </si>
  <si>
    <t>PEN. TOK Z PROV. MAJETKU CELKEM (bez nut.pen.)</t>
  </si>
  <si>
    <t>PLATBA NÁKLADOBÝCH ÚROKŮ</t>
  </si>
  <si>
    <t>c) Peněžní tok z neprovozního majetku</t>
  </si>
  <si>
    <t>Příjmy z neprovozního majetku a mimoř. příjmy</t>
  </si>
  <si>
    <t>Mimořádný výsledek hospodaření před daní</t>
  </si>
  <si>
    <t>Nabytí neprovozního majetku</t>
  </si>
  <si>
    <t>Nabytí dlouhodobého finančního majetku</t>
  </si>
  <si>
    <t>Prodej neprovozního majetku</t>
  </si>
  <si>
    <t>Snížení dlouhodobého fin. majetku (splátka půjčky)</t>
  </si>
  <si>
    <t>PENĚŽNÍ TOK Z NEPROVOZNÍHO MAJ. CELKEM</t>
  </si>
  <si>
    <t>d) Finanční činnost</t>
  </si>
  <si>
    <t>Změna dlouhodobých bankovních úvěrů</t>
  </si>
  <si>
    <t>Změna krátkodobých bankovních úvěrů</t>
  </si>
  <si>
    <t>Zvýšení základního kapitálu, ážia, event. rez. fondu</t>
  </si>
  <si>
    <t>PENĚŽNÍ TOK Z FINANČNÍ ČINNOSTI CELKEM</t>
  </si>
  <si>
    <t>e) Peněžní tok celkem</t>
  </si>
  <si>
    <t>PLÁNOVANÁ ROZVAHA</t>
  </si>
  <si>
    <t>Jmenovitá hodnota zůstatku pohledávky k 1. 1. 2017 (tis. Kč):</t>
  </si>
  <si>
    <t>1. Rozdělení pohledávky do kategorií</t>
  </si>
  <si>
    <t>a) Přepracovaný splátkový kalendář:</t>
  </si>
  <si>
    <t>Datum splacení</t>
  </si>
  <si>
    <t>Počet měsíců od data ocenění</t>
  </si>
  <si>
    <t>b) Zástava:</t>
  </si>
  <si>
    <t>Prodejní cena nemovitosti (tis. Kč)</t>
  </si>
  <si>
    <t>Část pohledávky, která bude uhrazena z prodeje zástavy (tis. Kč):</t>
  </si>
  <si>
    <t>2. Stanovení diskontní míry (podle metodiky J. Šantrůčka)</t>
  </si>
  <si>
    <t>Obvyklé náklady kapitálu pro investice do odvětví dlužníka:</t>
  </si>
  <si>
    <t>Riziko pohledávky:</t>
  </si>
  <si>
    <t>V:</t>
  </si>
  <si>
    <t xml:space="preserve">             Riziková přirážka pohledávky:</t>
  </si>
  <si>
    <t xml:space="preserve">             Diskontní míra:</t>
  </si>
  <si>
    <t>b) Příjem z prodeje zástavy:</t>
  </si>
  <si>
    <t>3. Současná hodnota plateb</t>
  </si>
  <si>
    <t>Diskontovaná částka</t>
  </si>
  <si>
    <t>4. Hodnota pohledávky celkem (tis. Kč)</t>
  </si>
  <si>
    <r>
      <t>Částka</t>
    </r>
    <r>
      <rPr>
        <sz val="10"/>
        <rFont val="Calibri"/>
        <family val="2"/>
        <charset val="238"/>
        <scheme val="minor"/>
      </rPr>
      <t xml:space="preserve">       (tis. Kč)</t>
    </r>
  </si>
  <si>
    <r>
      <t>P</t>
    </r>
    <r>
      <rPr>
        <vertAlign val="sub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("spl.kalendář"):</t>
    </r>
  </si>
  <si>
    <r>
      <t>P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("zástava"):</t>
    </r>
  </si>
  <si>
    <t>a) Provozně potřebné</t>
  </si>
  <si>
    <t>b) Provozně nepotřebné</t>
  </si>
  <si>
    <t>Provozní CF v pojetí účetního výkazu peněžních toků</t>
  </si>
  <si>
    <t>Okamžitá likvidita</t>
  </si>
  <si>
    <t>Zadluženost</t>
  </si>
  <si>
    <t>Podíl vlastního kapitálu na celkovém</t>
  </si>
  <si>
    <t>Průměrná doba splácení dluhů (roky)</t>
  </si>
  <si>
    <t>Rentabilita celkového kapitálu z EBIT</t>
  </si>
  <si>
    <t>Rentabilita vlastního kapitálu po dani</t>
  </si>
  <si>
    <t>Rentabilita tržeb po dani</t>
  </si>
  <si>
    <t>Rentabilita tržeb z provozního zisku</t>
  </si>
  <si>
    <t>Rentabilita tržeb z provozního cash flow</t>
  </si>
  <si>
    <t>Rentabilita tržeb z KPVH po dani (zisková marže)</t>
  </si>
  <si>
    <t>Rentabilita prov.nutného investovaného kapitálu z KPVH</t>
  </si>
  <si>
    <t>Aktivita</t>
  </si>
  <si>
    <t>Doba obratu zásob (dny)</t>
  </si>
  <si>
    <t>Doba obratu pohledávek (dny)</t>
  </si>
  <si>
    <t>Doba obratu obchodních závazků (dny)</t>
  </si>
  <si>
    <t>Náklady vlastního kapitálu</t>
  </si>
  <si>
    <r>
      <t>r</t>
    </r>
    <r>
      <rPr>
        <vertAlign val="subscript"/>
        <sz val="10"/>
        <rFont val="Arial CE"/>
        <family val="2"/>
        <charset val="238"/>
      </rPr>
      <t xml:space="preserve">f </t>
    </r>
    <r>
      <rPr>
        <sz val="10"/>
        <rFont val="Arial CE"/>
        <family val="2"/>
        <charset val="238"/>
      </rPr>
      <t>(aktuální výnosnost 20letých vládních dluhopisů USA)</t>
    </r>
  </si>
  <si>
    <t>Riziková prémie kap. trhu USA (geom. průměr 1928-2016)</t>
  </si>
  <si>
    <t>Rating České republiky</t>
  </si>
  <si>
    <t>Riziko selhání země (prémie USA dluhopisů A1 oproti AAA)</t>
  </si>
  <si>
    <t>Odhad poměru rizikové prémie u akcií oproti dluhopisům</t>
  </si>
  <si>
    <t>Riziková prémie země</t>
  </si>
  <si>
    <t>Riziková prémie země opravená o rozdíl v inflaci (-0,4%)</t>
  </si>
  <si>
    <t>Riziková přirážka za menší společnost - odhad</t>
  </si>
  <si>
    <t>Riziková přirážka za menší obchodovatelnost vlastnických podílů - odhad</t>
  </si>
  <si>
    <t>Poměr cizího a vlastního kapitálu u oceňovaného podniku</t>
  </si>
  <si>
    <t>Beta zadlužené</t>
  </si>
  <si>
    <t>A1</t>
  </si>
  <si>
    <t>Počet hodnocených kritérií</t>
  </si>
  <si>
    <t>Počet x váha</t>
  </si>
  <si>
    <t>OBCHODNÍ RIZIKO</t>
  </si>
  <si>
    <t xml:space="preserve">   Bezriziková výnosová míra:</t>
  </si>
  <si>
    <t>I.   Rizika oboru</t>
  </si>
  <si>
    <t>II.  Rizika trhu</t>
  </si>
  <si>
    <t>III. Rizika z konkurence</t>
  </si>
  <si>
    <t>IV. Management</t>
  </si>
  <si>
    <t>V. Výrobní proces</t>
  </si>
  <si>
    <t>VI. Specifické faktory</t>
  </si>
  <si>
    <t>FINANČNÍ RIZIKO</t>
  </si>
  <si>
    <t xml:space="preserve">Počet  kritérií </t>
  </si>
  <si>
    <t xml:space="preserve">   Poměr OR : FR</t>
  </si>
  <si>
    <t>X - stupeň rizika</t>
  </si>
  <si>
    <t>1  Nízké riziko</t>
  </si>
  <si>
    <t>2  Přiměřené riziko</t>
  </si>
  <si>
    <t>3  Zvýšené riziko</t>
  </si>
  <si>
    <t>4  Vysoké riziko</t>
  </si>
  <si>
    <t>A. OBCHODNÍ RIZIKO</t>
  </si>
  <si>
    <t>I. Rizika oboru</t>
  </si>
  <si>
    <t>Počet</t>
  </si>
  <si>
    <t>Vážený počet</t>
  </si>
  <si>
    <t>Dílčí riziková přirážka (RP x vážený počet)</t>
  </si>
  <si>
    <t>Nízké</t>
  </si>
  <si>
    <t>Přiměřené</t>
  </si>
  <si>
    <t>Zvýšené</t>
  </si>
  <si>
    <t>Vysoké</t>
  </si>
  <si>
    <t>Součet</t>
  </si>
  <si>
    <t>II. Rizika trhu</t>
  </si>
  <si>
    <t>VI. Ostatní faktory</t>
  </si>
  <si>
    <t>B. FINANČNÍ RIZIKO</t>
  </si>
  <si>
    <t>Finanční rizika</t>
  </si>
  <si>
    <t>NÁKLADY VLASTNÍHO KAPITÁLU</t>
  </si>
  <si>
    <t>Bezriziková výnosová míra</t>
  </si>
  <si>
    <t xml:space="preserve">Obchodní riziko </t>
  </si>
  <si>
    <t>Finanční riziko</t>
  </si>
  <si>
    <t>Riziková prémie celkem</t>
  </si>
  <si>
    <t>Prémie za nižší obchodovatelnost</t>
  </si>
  <si>
    <t>Náklady vlastního kapitálu - Stavebnicová metoda</t>
  </si>
  <si>
    <t>Náklady vlastního kapitálu - metoda CAPM</t>
  </si>
  <si>
    <r>
      <t xml:space="preserve">   Základní jednotková míra  (r</t>
    </r>
    <r>
      <rPr>
        <vertAlign val="subscript"/>
        <sz val="9"/>
        <rFont val="Arial CE"/>
        <family val="2"/>
        <charset val="238"/>
      </rPr>
      <t>f</t>
    </r>
    <r>
      <rPr>
        <sz val="9"/>
        <rFont val="Arial CE"/>
        <family val="2"/>
        <charset val="238"/>
      </rPr>
      <t xml:space="preserve"> / počet)</t>
    </r>
  </si>
  <si>
    <r>
      <t xml:space="preserve">   n</t>
    </r>
    <r>
      <rPr>
        <vertAlign val="subscript"/>
        <sz val="9"/>
        <rFont val="Arial CE"/>
        <family val="2"/>
        <charset val="238"/>
      </rPr>
      <t>vk max</t>
    </r>
  </si>
  <si>
    <r>
      <t xml:space="preserve">   a = (n</t>
    </r>
    <r>
      <rPr>
        <vertAlign val="subscript"/>
        <sz val="9"/>
        <rFont val="Arial CE"/>
        <family val="2"/>
        <charset val="238"/>
      </rPr>
      <t>vk max</t>
    </r>
    <r>
      <rPr>
        <sz val="9"/>
        <rFont val="Arial CE"/>
        <family val="2"/>
        <charset val="238"/>
      </rPr>
      <t xml:space="preserve"> / r</t>
    </r>
    <r>
      <rPr>
        <vertAlign val="subscript"/>
        <sz val="9"/>
        <rFont val="Arial CE"/>
        <family val="2"/>
        <charset val="238"/>
      </rPr>
      <t>f</t>
    </r>
    <r>
      <rPr>
        <sz val="9"/>
        <rFont val="Arial CE"/>
        <family val="2"/>
        <charset val="238"/>
      </rPr>
      <t>)^(1/4)</t>
    </r>
  </si>
  <si>
    <r>
      <t>a</t>
    </r>
    <r>
      <rPr>
        <b/>
        <vertAlign val="superscript"/>
        <sz val="9"/>
        <rFont val="Arial CE"/>
        <family val="2"/>
        <charset val="238"/>
      </rPr>
      <t>x</t>
    </r>
  </si>
  <si>
    <r>
      <t>z                  (= a</t>
    </r>
    <r>
      <rPr>
        <b/>
        <vertAlign val="superscript"/>
        <sz val="9"/>
        <rFont val="Arial CE"/>
        <family val="2"/>
        <charset val="238"/>
      </rPr>
      <t>x</t>
    </r>
    <r>
      <rPr>
        <b/>
        <sz val="9"/>
        <rFont val="Arial CE"/>
        <family val="2"/>
        <charset val="238"/>
      </rPr>
      <t xml:space="preserve"> - 1)</t>
    </r>
  </si>
  <si>
    <r>
      <t xml:space="preserve">RP </t>
    </r>
    <r>
      <rPr>
        <sz val="9"/>
        <rFont val="Arial CE"/>
        <family val="2"/>
        <charset val="238"/>
      </rPr>
      <t xml:space="preserve">pro 1 faktor    </t>
    </r>
    <r>
      <rPr>
        <b/>
        <sz val="9"/>
        <rFont val="Arial CE"/>
        <family val="2"/>
        <charset val="238"/>
      </rPr>
      <t xml:space="preserve">             (=z . r</t>
    </r>
    <r>
      <rPr>
        <b/>
        <vertAlign val="subscript"/>
        <sz val="9"/>
        <rFont val="Arial CE"/>
        <family val="2"/>
        <charset val="238"/>
      </rPr>
      <t>f</t>
    </r>
    <r>
      <rPr>
        <b/>
        <sz val="9"/>
        <rFont val="Arial CE"/>
        <family val="2"/>
        <charset val="238"/>
      </rPr>
      <t>/n)</t>
    </r>
  </si>
  <si>
    <r>
      <t>RP                       (=z . r</t>
    </r>
    <r>
      <rPr>
        <b/>
        <vertAlign val="subscript"/>
        <sz val="9"/>
        <rFont val="Arial CE"/>
        <family val="2"/>
        <charset val="238"/>
      </rPr>
      <t>f</t>
    </r>
    <r>
      <rPr>
        <b/>
        <sz val="9"/>
        <rFont val="Arial CE"/>
        <family val="2"/>
        <charset val="238"/>
      </rPr>
      <t>/n)</t>
    </r>
  </si>
  <si>
    <t>ZADÁNÍ</t>
  </si>
  <si>
    <t>a) Účetní struktura kapitálu k datu ocenění:</t>
  </si>
  <si>
    <t>Vlastní kapitál + nákladové rezervy</t>
  </si>
  <si>
    <t>tis. Kč</t>
  </si>
  <si>
    <t>Dluhopisy</t>
  </si>
  <si>
    <t>Bankovní úvěry krátkodobé</t>
  </si>
  <si>
    <t>Zpoplatněný kapitál celkem</t>
  </si>
  <si>
    <t>b) Informace o položkách kapitálu:</t>
  </si>
  <si>
    <t>Nominální hodnota 1 ks</t>
  </si>
  <si>
    <t>Současná tržní cena (dopočet z iterací)</t>
  </si>
  <si>
    <t>Zbývající počet let do splatnosti</t>
  </si>
  <si>
    <t>Nominální (kuponová) výnosnost</t>
  </si>
  <si>
    <t>Úroková míra</t>
  </si>
  <si>
    <t>Splatnost</t>
  </si>
  <si>
    <t>ŘEŠENÍ</t>
  </si>
  <si>
    <t>a) Váhy položek kapitálu (z tržních hodnot)</t>
  </si>
  <si>
    <t>Položka kapitálu</t>
  </si>
  <si>
    <t>Podíl</t>
  </si>
  <si>
    <t>Cizí kapitál celkem</t>
  </si>
  <si>
    <t>Celkový zpoplatněný kapitál</t>
  </si>
  <si>
    <t>Časová řada ročních toků z dluhopisu</t>
  </si>
  <si>
    <r>
      <t>n</t>
    </r>
    <r>
      <rPr>
        <b/>
        <vertAlign val="subscript"/>
        <sz val="10"/>
        <rFont val="Arial CE"/>
        <family val="2"/>
        <charset val="238"/>
      </rPr>
      <t>CK</t>
    </r>
  </si>
  <si>
    <t>Tržní hodnota</t>
  </si>
  <si>
    <t>Součin</t>
  </si>
  <si>
    <t>Výnos do doby splatnosti dluhopisů</t>
  </si>
  <si>
    <t>Průměrné náklady cizího kapitálu</t>
  </si>
  <si>
    <t>c) Náklady na vlastní kapitál</t>
  </si>
  <si>
    <t>Odhad pomocí modelu CAPM a rizikové prémie země</t>
  </si>
  <si>
    <r>
      <t xml:space="preserve">Odhad pomocí stavebnicová metody </t>
    </r>
    <r>
      <rPr>
        <i/>
        <sz val="10"/>
        <rFont val="Arial CE"/>
        <family val="2"/>
        <charset val="238"/>
      </rPr>
      <t>(pomocná informace)</t>
    </r>
  </si>
  <si>
    <t>d) Průměrné vážené náklady kapitálu</t>
  </si>
  <si>
    <t>Náklad</t>
  </si>
  <si>
    <t xml:space="preserve">Cizí kapitál po dani </t>
  </si>
  <si>
    <t>Průměrné vážené náklady kapitálu</t>
  </si>
  <si>
    <t>Počet akcií (ks)</t>
  </si>
  <si>
    <t>Současný kurz (kč)</t>
  </si>
  <si>
    <t>Počet dluhopisů (ks)</t>
  </si>
  <si>
    <t>Splatnost (v letech)</t>
  </si>
  <si>
    <t>Výpočet provozně potřebných peněžních prostředků:</t>
  </si>
  <si>
    <t>Provozně potřebná likvidita</t>
  </si>
  <si>
    <t>Provozně potřebný finanční majetek</t>
  </si>
  <si>
    <t>Provozně nepotřebný finanční majetek</t>
  </si>
  <si>
    <t>Provozně nutný investovaný kapitál k 31.12.:</t>
  </si>
  <si>
    <t>Investovaný kapitál celkem</t>
  </si>
  <si>
    <t>KPVH po dani</t>
  </si>
  <si>
    <t>Podklady pro odhad pokračující hodnoty</t>
  </si>
  <si>
    <t>Tempo růstu KPVH po dani</t>
  </si>
  <si>
    <t>Míra investic netto</t>
  </si>
  <si>
    <t>Volné cash flow pro 1. fázi</t>
  </si>
  <si>
    <t>Upravená daň</t>
  </si>
  <si>
    <t>Korigovaný provozní VH po dani</t>
  </si>
  <si>
    <t>Úpravy o nepeněžní operace (změna rezerv)</t>
  </si>
  <si>
    <t>Investice do provozně nutného dlouhodobého majetku</t>
  </si>
  <si>
    <t>Investice do provozně nutného prac. kapitálu</t>
  </si>
  <si>
    <t>FCFF</t>
  </si>
  <si>
    <t>Odúročitel pro diskontní míru:</t>
  </si>
  <si>
    <t>Diskontované FCFF k 1. 1. 2017</t>
  </si>
  <si>
    <t>Volné cash flow pro 2. fázi (stabilitační fáze)</t>
  </si>
  <si>
    <t>Tempo růstu tržeb, KPVH a invest. kap.</t>
  </si>
  <si>
    <t>Provozně nutný investovaný kapitál k 31. 12.</t>
  </si>
  <si>
    <t>Pokračující hodnota</t>
  </si>
  <si>
    <t>Tempo růstu</t>
  </si>
  <si>
    <t>Rentabilita investic netto</t>
  </si>
  <si>
    <t>Míra investic netto do DM a PK</t>
  </si>
  <si>
    <t>Investice netto 2026</t>
  </si>
  <si>
    <t>FCFF 2026</t>
  </si>
  <si>
    <t>Parametrický vzorec</t>
  </si>
  <si>
    <t>Gordonův vzorec</t>
  </si>
  <si>
    <t>Výnosové ocenění k 1. 1. 2017</t>
  </si>
  <si>
    <t>Současná hodnota 1. fáze</t>
  </si>
  <si>
    <t>Současná hodnota 2. fáze (stabilizační fáze)</t>
  </si>
  <si>
    <t>Současná hodnota pokračující hodnoty</t>
  </si>
  <si>
    <t>Provozní hodnota brutto</t>
  </si>
  <si>
    <t>Úročený cizí kapitál k datu ocenění</t>
  </si>
  <si>
    <t>Provozní hodnota netto</t>
  </si>
  <si>
    <t>Neprovozní majetek k datu ocenění</t>
  </si>
  <si>
    <t>Výsledná hodnota vlastního kapitálu podle DCF</t>
  </si>
  <si>
    <t>Kontrolní propočty tržní struktury pro odhad nákladů kapitálu</t>
  </si>
  <si>
    <t>Výsledný podíl CK/VK</t>
  </si>
  <si>
    <t>Výsledný podíl VK/K</t>
  </si>
  <si>
    <t>Provozní hodnota VK na 1 akcii (Kč)</t>
  </si>
  <si>
    <t>Výsledná hodnota VK na 1 akcii (Kč)</t>
  </si>
  <si>
    <t>Tržní hodnota / účetní hodnota vlastního kapitálu</t>
  </si>
  <si>
    <t>Základní údaje o dluhopisech:</t>
  </si>
  <si>
    <t>Účetní hodnota dluhopisů k 1. 1. 2017:</t>
  </si>
  <si>
    <t>Počet let zbývajících do splatnosti:</t>
  </si>
  <si>
    <t>Roční kupónový výnos nominální</t>
  </si>
  <si>
    <t>Roční kupónový výnos po dani *)</t>
  </si>
  <si>
    <t>Výnos do doby splatnosti u podobně rizikových dluhopisů</t>
  </si>
  <si>
    <t>*) Daňová sazba</t>
  </si>
  <si>
    <t>Ocenění dluhopisů:</t>
  </si>
  <si>
    <t>Zásobitel pro 7 let a 7 %</t>
  </si>
  <si>
    <t>Současná hodnota kupónových plateb</t>
  </si>
  <si>
    <t>Současná hodnota splátky nominální hodnoty</t>
  </si>
  <si>
    <t>Tržní hodnota dluhopisů</t>
  </si>
  <si>
    <t>Vstupní veličiny</t>
  </si>
  <si>
    <t>WACC</t>
  </si>
  <si>
    <t>První fáze</t>
  </si>
  <si>
    <t>NOPAT</t>
  </si>
  <si>
    <t>NOA k 31. 12.</t>
  </si>
  <si>
    <r>
      <t xml:space="preserve">WACC x NOA </t>
    </r>
    <r>
      <rPr>
        <vertAlign val="subscript"/>
        <sz val="10"/>
        <rFont val="Arial CE"/>
        <family val="2"/>
        <charset val="238"/>
      </rPr>
      <t>t-1</t>
    </r>
  </si>
  <si>
    <t>Druhá fáze (stabilitační)</t>
  </si>
  <si>
    <t>Současná hodnota 2. fáze</t>
  </si>
  <si>
    <t>MVA</t>
  </si>
  <si>
    <t>NOA k datu ocenění</t>
  </si>
  <si>
    <t>Výsledná hodnota vlastního kapitálu podle EVA</t>
  </si>
  <si>
    <t>Paušální metoda</t>
  </si>
  <si>
    <t>(+) odpisy</t>
  </si>
  <si>
    <t xml:space="preserve">(-) Finanční výnosy </t>
  </si>
  <si>
    <t>(+) Mimořádné osobní náklady - restrukturalizace</t>
  </si>
  <si>
    <t>(-) Mimořádné výnosy</t>
  </si>
  <si>
    <t>(+) Mimořádné náklady</t>
  </si>
  <si>
    <t>Upravený výsledek hospodaření UVH před odpisy a daní</t>
  </si>
  <si>
    <t>Cenový index řetězový</t>
  </si>
  <si>
    <t>Cenový index bazický vztažený k roku 2016</t>
  </si>
  <si>
    <t>UVH upravený o inflaci</t>
  </si>
  <si>
    <t>Váhy</t>
  </si>
  <si>
    <t>UVH upravený o inflaci x váhy</t>
  </si>
  <si>
    <t>Trvale odnímatelný čistý výnos před odpisy</t>
  </si>
  <si>
    <t>Odpisy z reprodukčních cen ze zadání</t>
  </si>
  <si>
    <t>Trvale odnímatelný čistý výnos před daní</t>
  </si>
  <si>
    <t>Daňový základ (s odpisy z posledního roku)</t>
  </si>
  <si>
    <t>Trvale odnímatelný čistý výnos po dani před korekcí</t>
  </si>
  <si>
    <t>Předpokládaná dlouhodobá inflace</t>
  </si>
  <si>
    <t>Trvale odnímatelný čistý výnos po korekci o míru investic</t>
  </si>
  <si>
    <t>Výnosová hodnota provozní</t>
  </si>
  <si>
    <t>Hodnota vlastního kapitálu podle KČV</t>
  </si>
  <si>
    <t>SOUČET</t>
  </si>
  <si>
    <t>ANALÝZA VNĚJŠÍHO POTENCIÁLU</t>
  </si>
  <si>
    <t>Data z veřejných zdrojů - vstupní faktory</t>
  </si>
  <si>
    <t>Skutečnost - trh ČR celkem</t>
  </si>
  <si>
    <t>Teoretické hodnoty - Trh za ČR celkem (mld. Kč)</t>
  </si>
  <si>
    <t>Trh ČR výsledný</t>
  </si>
  <si>
    <t>Relevantní trh regionální</t>
  </si>
  <si>
    <t>Spotřeba domác. (mld. Kč)</t>
  </si>
  <si>
    <t>Tempo</t>
  </si>
  <si>
    <t>Míra inflace</t>
  </si>
  <si>
    <t>Prům. spotřeba na osobu b.c. (Kč)</t>
  </si>
  <si>
    <t>Počet obyvatel ČR</t>
  </si>
  <si>
    <t>Trh ČR celkem (mld. Kč)</t>
  </si>
  <si>
    <t>Čas (lineární funkce)</t>
  </si>
  <si>
    <t>Spotř. domác. (expon. funkce)</t>
  </si>
  <si>
    <t>Spotř. domác. (lineární funkce)</t>
  </si>
  <si>
    <t>Trh ČR celkem (mil. Kč)</t>
  </si>
  <si>
    <t>Podíl obyvatel regionu na ČR</t>
  </si>
  <si>
    <t>Upravený ID</t>
  </si>
  <si>
    <t>Korelační koef.</t>
  </si>
  <si>
    <t>Průměrné roční tempo růstu:</t>
  </si>
  <si>
    <t>1995 až 2015</t>
  </si>
  <si>
    <t>2015 až 2021</t>
  </si>
  <si>
    <t>Závislost na čase lineární:</t>
  </si>
  <si>
    <t>Trh = 209,86 + 9,63 · Index roku</t>
  </si>
  <si>
    <t>Závislost na SD exponenciální:</t>
  </si>
  <si>
    <r>
      <t>Trh = e</t>
    </r>
    <r>
      <rPr>
        <vertAlign val="superscript"/>
        <sz val="10"/>
        <rFont val="Arial CE"/>
        <family val="2"/>
        <charset val="238"/>
      </rPr>
      <t>(5,02 + 0,0005 · Spotřeba domácností v mld. Kč)</t>
    </r>
  </si>
  <si>
    <t>Závislost na SD lineární:</t>
  </si>
  <si>
    <t xml:space="preserve">Trh = 97,3 + 0,14 · Spotřeba domácností v mld. Kč </t>
  </si>
  <si>
    <t>Poznámka:</t>
  </si>
  <si>
    <r>
      <t>R</t>
    </r>
    <r>
      <rPr>
        <vertAlign val="super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 = index determinace = korelační koeficient </t>
    </r>
    <r>
      <rPr>
        <vertAlign val="superscript"/>
        <sz val="10"/>
        <rFont val="Arial CE"/>
        <family val="2"/>
        <charset val="238"/>
      </rPr>
      <t>2</t>
    </r>
  </si>
  <si>
    <t xml:space="preserve">Upravený ID = upravený index determinace vhodný pro srovnávání modelů s různým počtem regresorů </t>
  </si>
  <si>
    <t>Relevantní trh (mil. Kč)</t>
  </si>
  <si>
    <t>1) Regresní analýza - závislost trhu na čase lineární</t>
  </si>
  <si>
    <t>Index roku</t>
  </si>
  <si>
    <t>Regresní statistika</t>
  </si>
  <si>
    <t>Násobné R</t>
  </si>
  <si>
    <t>Hodnota spolehlivosti R</t>
  </si>
  <si>
    <t>Nastavená hodnota spolehlivosti R</t>
  </si>
  <si>
    <t>Chyba stř. hodnoty</t>
  </si>
  <si>
    <t>Pozorování</t>
  </si>
  <si>
    <t>= korelační koeficient</t>
  </si>
  <si>
    <t>= index determinace</t>
  </si>
  <si>
    <t>= upravený index determinace</t>
  </si>
  <si>
    <t>Regrese</t>
  </si>
  <si>
    <t>Rezidua</t>
  </si>
  <si>
    <t>Rozdíl</t>
  </si>
  <si>
    <t>SS</t>
  </si>
  <si>
    <t>MS</t>
  </si>
  <si>
    <t>F</t>
  </si>
  <si>
    <t>Významnost F</t>
  </si>
  <si>
    <t>Koeficienty</t>
  </si>
  <si>
    <t>t stat</t>
  </si>
  <si>
    <t>Hodnota P</t>
  </si>
  <si>
    <t>Dolní 95%</t>
  </si>
  <si>
    <t>Horní 95%</t>
  </si>
  <si>
    <t>Dolní 95,0%</t>
  </si>
  <si>
    <t>Horní 95,0%</t>
  </si>
  <si>
    <t>Hranice</t>
  </si>
  <si>
    <t>2) Regresní analýza - závislost trhu na Spotřebě domácností exponenciální</t>
  </si>
  <si>
    <t>Spotř. domác. (mld. Kč)</t>
  </si>
  <si>
    <t>Ln(Trh)</t>
  </si>
  <si>
    <t>HDP b.c. (mil. Kč)</t>
  </si>
  <si>
    <t xml:space="preserve">Ocenění na základě násobitelů odvozených z podobných podniků </t>
  </si>
  <si>
    <t>Násobitele jsou očištěny o neprovozní majetek.</t>
  </si>
  <si>
    <t>Všechny údaje jsou k 31. 12. 2016</t>
  </si>
  <si>
    <t>Násobitel</t>
  </si>
  <si>
    <t>Násobitele srovnatelných podniků</t>
  </si>
  <si>
    <t>Výsledná hodnota netto</t>
  </si>
  <si>
    <t>Násobitele typu equity</t>
  </si>
  <si>
    <t>P/E</t>
  </si>
  <si>
    <t>KVH</t>
  </si>
  <si>
    <t>P/BV</t>
  </si>
  <si>
    <t>Násobitele typu entity</t>
  </si>
  <si>
    <t>EV/Tržby</t>
  </si>
  <si>
    <t>EV/EBIT</t>
  </si>
  <si>
    <t>EV/EBITDA</t>
  </si>
  <si>
    <t>EBITDA</t>
  </si>
  <si>
    <t>EV/K</t>
  </si>
  <si>
    <t>K</t>
  </si>
  <si>
    <t>EV = enterprise value (tržní hodnota investovaného kapitálu)</t>
  </si>
  <si>
    <t>P   = price (tržní cena akcie, tj. vlastního kapitálu)</t>
  </si>
  <si>
    <t>K   = provozně nutný investovaný kapitál (účetní hodnota)</t>
  </si>
  <si>
    <t xml:space="preserve">Úročený CK </t>
  </si>
  <si>
    <t xml:space="preserve">Neprovozní majetek </t>
  </si>
  <si>
    <t>VÝNOSOVÉ OCENĚNÍ</t>
  </si>
  <si>
    <t>Metoda DCF</t>
  </si>
  <si>
    <t>Metoda EVA</t>
  </si>
  <si>
    <t>Metoda KČV paušální</t>
  </si>
  <si>
    <t>TRŽNÍ POROVNÁNÍ</t>
  </si>
  <si>
    <t>MAJETKOVÉ OCENĚNÍ</t>
  </si>
  <si>
    <t>Účetní hodnota</t>
  </si>
  <si>
    <t>Substanční hodnota (odhad)</t>
  </si>
  <si>
    <t>Likvidační hodnota (odhad)</t>
  </si>
  <si>
    <t>VÝSLEDNÁ TRŽNÍ HODNOTA K 1. 1. 2017 (zaokrouhleno)</t>
  </si>
  <si>
    <t>Na úrovni DCF a EVA</t>
  </si>
  <si>
    <t>Růstové příležitosti</t>
  </si>
  <si>
    <t>t (počet měsíců od data ocenění)</t>
  </si>
  <si>
    <t>Vztahová veličina 2016 očištěná o neprovozní majetek</t>
  </si>
  <si>
    <t xml:space="preserve">Diference v platbě daně oproti dani z KPVH </t>
  </si>
  <si>
    <t>Průměrná doba splácení</t>
  </si>
  <si>
    <t>výsledek hospodaření za účetní období / vlastní kapitál</t>
  </si>
  <si>
    <t>výsledek hospodaření / tržby celkem</t>
  </si>
  <si>
    <t>Provozní výsledek hospodaření z výsledovky</t>
  </si>
  <si>
    <t>(+) Zůst. cena prodaného dlouhodobého majetku</t>
  </si>
  <si>
    <t>(-) Tržby z prodeje dlouhodobého majetku</t>
  </si>
  <si>
    <r>
      <t>Kalkulovaná úroková míra (n</t>
    </r>
    <r>
      <rPr>
        <b/>
        <vertAlign val="subscript"/>
        <sz val="10"/>
        <rFont val="Arial CE"/>
        <family val="2"/>
        <charset val="238"/>
      </rPr>
      <t>VK</t>
    </r>
    <r>
      <rPr>
        <b/>
        <sz val="10"/>
        <rFont val="Arial CE"/>
        <family val="2"/>
        <charset val="238"/>
      </rPr>
      <t xml:space="preserve"> bez inflace)</t>
    </r>
  </si>
  <si>
    <t>Beta nezadlužené pro dané odvětví (Evropa)</t>
  </si>
  <si>
    <t>Kritérium</t>
  </si>
  <si>
    <t>Bodové hodnocení kritéria atraktivity</t>
  </si>
  <si>
    <t>Body</t>
  </si>
  <si>
    <t>Negativní</t>
  </si>
  <si>
    <t>Průměr</t>
  </si>
  <si>
    <t>Pozitivní</t>
  </si>
  <si>
    <t>×</t>
  </si>
  <si>
    <t>Růst trhu</t>
  </si>
  <si>
    <t>Velikost trhu</t>
  </si>
  <si>
    <t>Intenzita konkurence</t>
  </si>
  <si>
    <t>Průměrná rentabilita</t>
  </si>
  <si>
    <t>Bariéry vstupu</t>
  </si>
  <si>
    <t>Možnosti substituce</t>
  </si>
  <si>
    <t>Citlivost na konjunkturu</t>
  </si>
  <si>
    <t>Struktura zákazníků</t>
  </si>
  <si>
    <t>Vlivy prostředí</t>
  </si>
  <si>
    <t>Maximální počet bodů:</t>
  </si>
  <si>
    <t>Dosažený počet bodů:</t>
  </si>
  <si>
    <t>Hodnocení:</t>
  </si>
  <si>
    <t>X</t>
  </si>
  <si>
    <t>Analýza vnějšího potenciálu - atraktivita trhu</t>
  </si>
  <si>
    <t>Příklad pro špatné hodnocení</t>
  </si>
  <si>
    <t>Bodové hodnocení</t>
  </si>
  <si>
    <t>Příklad pro dobré hodnocení</t>
  </si>
  <si>
    <t>Schopnost tvořit vize</t>
  </si>
  <si>
    <t>Žádné</t>
  </si>
  <si>
    <t>Vedení má jasnou vizi</t>
  </si>
  <si>
    <t>Schopnost tvořit strategie</t>
  </si>
  <si>
    <t>Žádná</t>
  </si>
  <si>
    <t>Vedení má jasnou strategii</t>
  </si>
  <si>
    <t>Schopnost prognózovat</t>
  </si>
  <si>
    <t>Špatná</t>
  </si>
  <si>
    <t>Mimořádná</t>
  </si>
  <si>
    <t>Schopnost ocenit šance a rizika</t>
  </si>
  <si>
    <t>Příliš optimistické cíle</t>
  </si>
  <si>
    <t>Realistické pohledy</t>
  </si>
  <si>
    <t>Plánování běžné činnosti</t>
  </si>
  <si>
    <t xml:space="preserve">Žádné </t>
  </si>
  <si>
    <t>Pravidelně, obsáhle</t>
  </si>
  <si>
    <t>Styl vedení, hodnoty</t>
  </si>
  <si>
    <t>Nejasné kompetence, přetížené vedení</t>
  </si>
  <si>
    <t>Jasná kompetence a hodnoty</t>
  </si>
  <si>
    <t>Osobní kvalifikace</t>
  </si>
  <si>
    <t>Nedosta-tečná</t>
  </si>
  <si>
    <t>Vysoce kvalifi-kovaný</t>
  </si>
  <si>
    <t>Schopnost se učit</t>
  </si>
  <si>
    <t>Ztrnulost v minulém</t>
  </si>
  <si>
    <t>Vysoká, zájem o nové</t>
  </si>
  <si>
    <t>Schopnost rozhodovat</t>
  </si>
  <si>
    <t>Váhavost při rozhodování</t>
  </si>
  <si>
    <t>Schopnost rychle nalézt řešení</t>
  </si>
  <si>
    <t>Vyváženost technických a ekonomických hledisek</t>
  </si>
  <si>
    <t>Jedno-strannost</t>
  </si>
  <si>
    <t>Ovládá obě oblasti</t>
  </si>
  <si>
    <t>Četnost bodů</t>
  </si>
  <si>
    <t>Získaný počet bodů:</t>
  </si>
  <si>
    <t>Průměrný počet bodů:</t>
  </si>
  <si>
    <t>Příklad pro dobré hodno-cení</t>
  </si>
  <si>
    <t>A. Kvalifikace a fluktuace</t>
  </si>
  <si>
    <t>Závislost na klíčových odbornostech</t>
  </si>
  <si>
    <t>Provoz podniku je vysoce závislý na pracovnících se specifickou odborností</t>
  </si>
  <si>
    <t>Provoz nevyžaduje speciální odbornost</t>
  </si>
  <si>
    <t>Kvalifikace personálu</t>
  </si>
  <si>
    <t>Podnik nemá tak kvalifikovaný personál, jak by to provoz vyžadoval</t>
  </si>
  <si>
    <t>Podnik má personál s potřebnou kvalifikací</t>
  </si>
  <si>
    <t>Nebezpečí fluktuace klíčových osob</t>
  </si>
  <si>
    <t>Vysoká fluktuace, podnik nevěnuje pozornost klíčovým pracovním místům</t>
  </si>
  <si>
    <t>Zatím nízká fluktuace, klíčové kvalifikace jsou identifiková-ny a vhodně řízeny</t>
  </si>
  <si>
    <t>B. Klima v podniku</t>
  </si>
  <si>
    <t>Obecné hodnocení klimatu</t>
  </si>
  <si>
    <t>Napjatá atmosféra, nespokojenost</t>
  </si>
  <si>
    <t>Spokojenost, důvěra v budoucnost</t>
  </si>
  <si>
    <t>Ochota k výkonům pro firmu</t>
  </si>
  <si>
    <t>Minimální ochota k výkonům, pracovníci podali „vnitřní výpověď“</t>
  </si>
  <si>
    <t>Iniciativnost, ochota přebírat odpověd-nost</t>
  </si>
  <si>
    <t>C. Osobní náklady</t>
  </si>
  <si>
    <t>Relativní vývoj osobních nákladů</t>
  </si>
  <si>
    <t>Náklady rostou rychleji než produktivita práce, nebo naopak růstu mezd je věnována malá pozornost</t>
  </si>
  <si>
    <t>Osobní náklady se vyvíjejí přiměřeně</t>
  </si>
  <si>
    <t>Náklady na školení</t>
  </si>
  <si>
    <t>Minimální</t>
  </si>
  <si>
    <t>Vysoké, srovnatelné s konkurencí</t>
  </si>
  <si>
    <t>A. Inovační síla</t>
  </si>
  <si>
    <t>Množství registrovaných práv průmyslového vlastnictví</t>
  </si>
  <si>
    <t>Malé množství, podnik již delší dobu nepodal žádnou novou přihlášku k registraci</t>
  </si>
  <si>
    <t>Vysoký počet registrovaných práv a průběžně nové přihlášky</t>
  </si>
  <si>
    <t>Podíl na nových produktech na trhu</t>
  </si>
  <si>
    <t>Minimální podíl na trhu nových produktů</t>
  </si>
  <si>
    <t>Nadprůměrný podíl</t>
  </si>
  <si>
    <t>Podíl nových produktů na tržbách (příspěvku na krytí, cash flow)</t>
  </si>
  <si>
    <t>Nízký, tržby (příspěvek na krytí,  cash flow) plynou především ze zavedených produktů</t>
  </si>
  <si>
    <t>Vysoký</t>
  </si>
  <si>
    <t>Využití informací z reklamací</t>
  </si>
  <si>
    <t>Informace nejsou využívány</t>
  </si>
  <si>
    <t>Propracovaný systém sledování a využívání informací z reklamací</t>
  </si>
  <si>
    <t>B. Organizace výzkumu a vývoje</t>
  </si>
  <si>
    <t>Motivace pracovníků na inovacích</t>
  </si>
  <si>
    <t>Žádný motivační systém</t>
  </si>
  <si>
    <t>Propraco-vaný motivační systém</t>
  </si>
  <si>
    <t>Podíl úspěšných výzkumných projektů</t>
  </si>
  <si>
    <t>Malý</t>
  </si>
  <si>
    <t>Strategie výzkumných prací</t>
  </si>
  <si>
    <t>Žádný výzkum nebo improvizované řízení</t>
  </si>
  <si>
    <t>Jasné cíle a strategie, propracované vazby mezi výzkumem a marke-tingem</t>
  </si>
  <si>
    <t>Podíl nákladů na výzkum a vývoj na tržbách</t>
  </si>
  <si>
    <t>Nízký podíl</t>
  </si>
  <si>
    <t>Přiměřenost kapacit k datu ocenění</t>
  </si>
  <si>
    <t>Nedosta-tečné kapacity,  nebo naopak příliš mnoho nevyužitých kapacit</t>
  </si>
  <si>
    <t>Kapacity optimálně využité</t>
  </si>
  <si>
    <t>Technická úroveň dlouhodobého majetku</t>
  </si>
  <si>
    <t>Velmi zastaralá</t>
  </si>
  <si>
    <t>Modernější vybavení než u konkurence</t>
  </si>
  <si>
    <t>Stav údržby (podle celkového dojmu)</t>
  </si>
  <si>
    <t>Nedosta-tečná údržba, zanedbanost</t>
  </si>
  <si>
    <t>Pečlivá údržba</t>
  </si>
  <si>
    <t>Fundovanost posuzování investic</t>
  </si>
  <si>
    <t>Rozhodo-vání „od oka“</t>
  </si>
  <si>
    <t>Standardní kritéria hodnocení investic, scénáře</t>
  </si>
  <si>
    <t>Investiční controling</t>
  </si>
  <si>
    <t>Žádné prvky investičního controllingu</t>
  </si>
  <si>
    <t>Průběžná kontrola a zpětné hodnocení významných investic</t>
  </si>
  <si>
    <t>Přiměřenost investic</t>
  </si>
  <si>
    <t>Investiční činnost zcela nedosta-tečná</t>
  </si>
  <si>
    <t>Investice jsou přiměřené konkrétní situaci a rozvojovým záměrům</t>
  </si>
  <si>
    <t>Přímé faktory</t>
  </si>
  <si>
    <t>Kvalita výrobků</t>
  </si>
  <si>
    <t>Technická úroveň výrobků</t>
  </si>
  <si>
    <t>Cenová úroveň</t>
  </si>
  <si>
    <t>Intenzita reklamy</t>
  </si>
  <si>
    <t>Výhody místa</t>
  </si>
  <si>
    <t>Výhody distribuce</t>
  </si>
  <si>
    <t>Image firmy</t>
  </si>
  <si>
    <t>Servis a služby</t>
  </si>
  <si>
    <t>Nepřímé faktory</t>
  </si>
  <si>
    <t>Kvalita managementu</t>
  </si>
  <si>
    <t>Výkonný personál</t>
  </si>
  <si>
    <t>Výzkum a vývoj</t>
  </si>
  <si>
    <t>Majetek a investice</t>
  </si>
  <si>
    <t>Finanční situace</t>
  </si>
  <si>
    <t>Šíře sortimentu</t>
  </si>
  <si>
    <t>Hloubka sortimentu</t>
  </si>
  <si>
    <t>Kvalita zboží</t>
  </si>
  <si>
    <t>Běžná dostupnost</t>
  </si>
  <si>
    <t>Možnost týdenních nákupů</t>
  </si>
  <si>
    <t>Rychlost obsluhy u pokladen</t>
  </si>
  <si>
    <t>Úroveň prodejen z pohledu zákazníka</t>
  </si>
  <si>
    <t>Kvalita obsluhy</t>
  </si>
  <si>
    <t>Účinnost reklamy</t>
  </si>
  <si>
    <t>Systém řízení oběhu zboží</t>
  </si>
  <si>
    <t>Analýza vnitřního potenciálu - kvalita managementu</t>
  </si>
  <si>
    <t>Body četnost</t>
  </si>
  <si>
    <t>Analýza vnitřního potenciálu - personální oblast</t>
  </si>
  <si>
    <t>Analýza vnitřního potenciálu - inovace a výzkum</t>
  </si>
  <si>
    <t>Analýza vnitnřního potenciálu - dlouhodobý majetek a investice</t>
  </si>
  <si>
    <t>Souhrnná konkurenční síla - př. výrobní podnik</t>
  </si>
  <si>
    <t>Souhrnná konkureční síla - př. obchodní podnik</t>
  </si>
  <si>
    <t>Finanční analýza plánu</t>
  </si>
  <si>
    <t>→ list DCF buňka E80</t>
  </si>
  <si>
    <t>→dle prof. Damodarana, zdroj: https://pages.stern.nyu.edu/~adamodar/</t>
  </si>
  <si>
    <t>→pro USA (zdroj: https://pages.stern.nyu.edu/~adamodar/), pro ČR (zdroj: www.mfcr.cz)</t>
  </si>
  <si>
    <t>Platba</t>
  </si>
  <si>
    <t>Spotová míra</t>
  </si>
  <si>
    <t>Státní kupónový dluhopis</t>
  </si>
  <si>
    <t>Časová řada pro výpočet výnosu do doby splatnosti</t>
  </si>
  <si>
    <t>Podnik - výnos do doby splatnosti dluhopisů</t>
  </si>
  <si>
    <t>FCF</t>
  </si>
  <si>
    <t>YTM</t>
  </si>
  <si>
    <t>Disk. FCF</t>
  </si>
  <si>
    <t>Hodnota</t>
  </si>
  <si>
    <t>YTM dluhopisu</t>
  </si>
  <si>
    <t>Hodnota z YTM</t>
  </si>
  <si>
    <t>Disk. platba</t>
  </si>
  <si>
    <t>Podnik - spotové úrokové míry</t>
  </si>
  <si>
    <t>Časová řada pro výpočet vnitřní výnosové míry</t>
  </si>
  <si>
    <t>DCF entity</t>
  </si>
  <si>
    <t>DCF equity</t>
  </si>
  <si>
    <t>Korigovaný provozní VH po dani a náklad. úrocích</t>
  </si>
  <si>
    <t>FCFE</t>
  </si>
  <si>
    <t>Splátky úročeného cizího kapitálu</t>
  </si>
  <si>
    <t xml:space="preserve">Přijetí nového úročeného cizího kapitálu </t>
  </si>
  <si>
    <t>Diskontované FCFE k 1. 1. 2017</t>
  </si>
  <si>
    <t>FCFE 2026</t>
  </si>
  <si>
    <t>Korigovaný provozní VH po dani a nákl. Úrocích</t>
  </si>
  <si>
    <t>EVA entity</t>
  </si>
  <si>
    <t>EVA equity</t>
  </si>
  <si>
    <t>EAT (NOPAT)</t>
  </si>
  <si>
    <t>VK k 31. 12. (NOA-CK)</t>
  </si>
  <si>
    <t>nVK x (EAT/VK)</t>
  </si>
  <si>
    <t>Nvk</t>
  </si>
  <si>
    <t>Diskontovaná EVA equity</t>
  </si>
  <si>
    <t>Diskontovaná EVA entity</t>
  </si>
  <si>
    <t>Druh majetku</t>
  </si>
  <si>
    <t>Výsledná hodnota</t>
  </si>
  <si>
    <t xml:space="preserve">Dlouhodobý hmotný majetek </t>
  </si>
  <si>
    <t>Drobný hmotný majetek</t>
  </si>
  <si>
    <t xml:space="preserve">Dlouhodobý nehmotný majetek </t>
  </si>
  <si>
    <t xml:space="preserve">Pohledávky </t>
  </si>
  <si>
    <t>Finanční majetek</t>
  </si>
  <si>
    <t>Závazky</t>
  </si>
  <si>
    <t>Celkem majetek</t>
  </si>
  <si>
    <t>Celkem závazky</t>
  </si>
  <si>
    <t>Hodnota podniku</t>
  </si>
  <si>
    <t xml:space="preserve">Dlouhodobý finanční majetek </t>
  </si>
  <si>
    <t>účetní hodnota (book-value) - Hodnota VK k 31.12.2016 převzatá z rozvahy</t>
  </si>
  <si>
    <t>→ přecenění, dle amortizačních tabulek, nemovitosti zvlášť</t>
  </si>
  <si>
    <t>→ přecenění, dle opotřebení</t>
  </si>
  <si>
    <t>→ přecenění, specifické metody pro ocenění nehmotného majetku</t>
  </si>
  <si>
    <t>→ přecenění, dle druhu CP</t>
  </si>
  <si>
    <t>→ přecenění, dle likvidnosti</t>
  </si>
  <si>
    <t>→ ponechán v nominální hodnotě</t>
  </si>
  <si>
    <t>→ ponechány v nominální hodnotě</t>
  </si>
  <si>
    <t>→ přecenění, dle viz samostatní list "Pohledávky"</t>
  </si>
  <si>
    <t>→ rozdíl mezi přeceněnými aktivy a pasivy</t>
  </si>
  <si>
    <t xml:space="preserve">Schmalenbachova metoda </t>
  </si>
  <si>
    <t xml:space="preserve">Metoda kapitalizovaných mimořádných čistých výnosů </t>
  </si>
  <si>
    <t>Obvyklý čistý výnos</t>
  </si>
  <si>
    <t>Mimořádný čistý výnos</t>
  </si>
  <si>
    <t>Metoda FCFF</t>
  </si>
  <si>
    <t>Substanční metoda na reprodukčních cenách</t>
  </si>
  <si>
    <t>Normální úrok</t>
  </si>
  <si>
    <t>Mimořádný úrok</t>
  </si>
  <si>
    <t>Trvale očekávaný výnos</t>
  </si>
  <si>
    <t>Substanční hodnota na principu úspory nákladů - příklad</t>
  </si>
  <si>
    <t>Předpoklady:</t>
  </si>
  <si>
    <t>diskotní míry 10%</t>
  </si>
  <si>
    <t>obnova po 5 letech, ve stejné hodnotě, poté po 8 letech</t>
  </si>
  <si>
    <t>Současná hodnota investic pro oceňovaný podnik</t>
  </si>
  <si>
    <t>Současná hodnota investic pro výstavbu nového podniku</t>
  </si>
  <si>
    <t>Současná hodnota uspořených nákladů</t>
  </si>
  <si>
    <t>stáří zařízení 2 roky</t>
  </si>
  <si>
    <t>životnost celkem 10 let</t>
  </si>
  <si>
    <t>reproduktní hodnota 750 000 Kč</t>
  </si>
  <si>
    <t>→ rozdíl mezi reprodukčními aktivy a pasivy</t>
  </si>
  <si>
    <t>→ přecenění na tržní hodnotu</t>
  </si>
  <si>
    <t>Oběžný majetek (zásoby)</t>
  </si>
  <si>
    <t>Majetkové ocenění na principu tržních cen  (veškerý majetek je přeceněn na tržní cenu k datu ocenění)</t>
  </si>
  <si>
    <t>Substanční metoda na principu reprodukčních cen (veškerý majetek je přeceněn na reprodukční hodnotu k datu ocenění)</t>
  </si>
  <si>
    <t>Likvidační metoda</t>
  </si>
  <si>
    <t>Příjmy z prodeje majetku</t>
  </si>
  <si>
    <t>Výdaje (úhrada závazků, náklady na likvidaci, daňové aj.)</t>
  </si>
  <si>
    <t>Běžné podnikové příjmy či výdaje</t>
  </si>
  <si>
    <t>Kalkulace přírůstkové hodnoty</t>
  </si>
  <si>
    <t>Diskotní míra</t>
  </si>
  <si>
    <t>Hodnota (v tis. Kč)</t>
  </si>
  <si>
    <t>Zisk z akvizice</t>
  </si>
  <si>
    <t>Koncern E</t>
  </si>
  <si>
    <t>Podnik C</t>
  </si>
  <si>
    <t>strategický přínos</t>
  </si>
  <si>
    <t>daňové úspory</t>
  </si>
  <si>
    <t>provozní výkonnnost</t>
  </si>
  <si>
    <t>Hodnota E + C po spojení</t>
  </si>
  <si>
    <t>Čisté roční CF               (v tis. Kč)</t>
  </si>
  <si>
    <t>Oceňování synergických efektů při fúzi podniku</t>
  </si>
  <si>
    <t>Podnik A</t>
  </si>
  <si>
    <t>Podnik B</t>
  </si>
  <si>
    <t>Zdanitelný zisk</t>
  </si>
  <si>
    <t>Daně 19 %</t>
  </si>
  <si>
    <t>Čistý zisk</t>
  </si>
  <si>
    <t>Likvidační hodnota podniku entity a equity příklad</t>
  </si>
  <si>
    <t>Zařízení</t>
  </si>
  <si>
    <t>Peníze provozně nutné</t>
  </si>
  <si>
    <t>Likvidační hodnota entity</t>
  </si>
  <si>
    <t>Splácení bankovních úvěrů</t>
  </si>
  <si>
    <t>Likvidační hodnota equity</t>
  </si>
  <si>
    <t>Splácení krátkodobých závazků</t>
  </si>
  <si>
    <t>DCF entity a equity příklad</t>
  </si>
  <si>
    <t>Korigovaný provozní HV</t>
  </si>
  <si>
    <t>Daň</t>
  </si>
  <si>
    <t>Korigovaný provozní HV po dani</t>
  </si>
  <si>
    <t>Investice brutto do dlouh. Majetku</t>
  </si>
  <si>
    <t>Změna pracovního kapitálu</t>
  </si>
  <si>
    <t>Placené úroky . (1 - daň)</t>
  </si>
  <si>
    <t>Změna úvěrů</t>
  </si>
  <si>
    <t>P/E příklady</t>
  </si>
  <si>
    <t>Vyplácené dividendy</t>
  </si>
  <si>
    <t>Přepokládaný růst zisku</t>
  </si>
  <si>
    <t>Beta - β</t>
  </si>
  <si>
    <t>Výnosnost státního dluhopisu</t>
  </si>
  <si>
    <t>Riziková prémie</t>
  </si>
  <si>
    <t>P</t>
  </si>
  <si>
    <t>E</t>
  </si>
  <si>
    <t>Zisk na akcii (EPS)</t>
  </si>
  <si>
    <t>Tržní kapitalizace</t>
  </si>
  <si>
    <t>Průměrná cena akcie</t>
  </si>
  <si>
    <t>Počet akcií</t>
  </si>
  <si>
    <t>Úhranná hodnota všech akcií bez prémie</t>
  </si>
  <si>
    <t>Prémie tržní kapitalizace</t>
  </si>
  <si>
    <t>Obor a portfolio</t>
  </si>
  <si>
    <t>Sídlo</t>
  </si>
  <si>
    <t>Počet zaměstnanců a prodejen</t>
  </si>
  <si>
    <t>Bilanční suma</t>
  </si>
  <si>
    <t>Hospodářský výsledek</t>
  </si>
  <si>
    <t>Oceňovaná společnost</t>
  </si>
  <si>
    <t>Výroba slaného a sladkého pečiva</t>
  </si>
  <si>
    <t>České Budějovice</t>
  </si>
  <si>
    <t>18 zaměstnanců;</t>
  </si>
  <si>
    <t>5 prodejen</t>
  </si>
  <si>
    <t>17 mil. Kč</t>
  </si>
  <si>
    <t>1 mil. Kč</t>
  </si>
  <si>
    <t>Společnost 1</t>
  </si>
  <si>
    <t>Výroba slaného pečiva</t>
  </si>
  <si>
    <t>24 zaměstnanců;</t>
  </si>
  <si>
    <t>5 prodejen</t>
  </si>
  <si>
    <t>21 mil. Kč</t>
  </si>
  <si>
    <t>200 tis. Kč</t>
  </si>
  <si>
    <t>Společnost 2</t>
  </si>
  <si>
    <t>Jindřichův Hradec</t>
  </si>
  <si>
    <t>149 zaměstnanců;</t>
  </si>
  <si>
    <t>31 prodejen</t>
  </si>
  <si>
    <t>99 mil. Kč</t>
  </si>
  <si>
    <t>10 mil. Kč</t>
  </si>
  <si>
    <t>Společnost 3</t>
  </si>
  <si>
    <t>Výroba sladkého pečiva a dortů</t>
  </si>
  <si>
    <t>1 zaměstnanec;</t>
  </si>
  <si>
    <t>1 prodejna</t>
  </si>
  <si>
    <t>250 tis. Kč</t>
  </si>
  <si>
    <t>10 tis. Kč</t>
  </si>
  <si>
    <t>Společnost 4</t>
  </si>
  <si>
    <t>Distribuce slaného a sladkého pečiva</t>
  </si>
  <si>
    <t>Rudolfov</t>
  </si>
  <si>
    <t>8 zaměstnanců;</t>
  </si>
  <si>
    <t>3 prodejny</t>
  </si>
  <si>
    <t>‑100 tis. Kč</t>
  </si>
  <si>
    <t>Společnost 5</t>
  </si>
  <si>
    <t>31 mil. Kč</t>
  </si>
  <si>
    <t>1,5 mil. Kč</t>
  </si>
  <si>
    <t>Společnost 6</t>
  </si>
  <si>
    <t>Hradec Králové</t>
  </si>
  <si>
    <t>26 zaměstnanců;</t>
  </si>
  <si>
    <t>8 prodejen</t>
  </si>
  <si>
    <t>22 mil. Kč</t>
  </si>
  <si>
    <t>2 mil. Kč</t>
  </si>
  <si>
    <t>Společnost 7</t>
  </si>
  <si>
    <t>Praha</t>
  </si>
  <si>
    <t>98 zaměstnanců;</t>
  </si>
  <si>
    <t>30 prodejen</t>
  </si>
  <si>
    <t>103 mil. Kč</t>
  </si>
  <si>
    <t>15 mil. Kč</t>
  </si>
  <si>
    <t>Společnost 8</t>
  </si>
  <si>
    <t>Výroba slaného a trvanlivého pečiva</t>
  </si>
  <si>
    <t>15 zaměstnanců;</t>
  </si>
  <si>
    <t>10 prodejen</t>
  </si>
  <si>
    <t>750 tis. Kč</t>
  </si>
  <si>
    <t>Společnost 9</t>
  </si>
  <si>
    <t>Výroba trvanlivého pečiva</t>
  </si>
  <si>
    <t>Hluboká nad Vltavou</t>
  </si>
  <si>
    <t>3 zaměstnanci;</t>
  </si>
  <si>
    <t>Společnost 10</t>
  </si>
  <si>
    <t>32 zaměstnanců;</t>
  </si>
  <si>
    <t>12 prodejen</t>
  </si>
  <si>
    <t>28 mil. Kč</t>
  </si>
  <si>
    <t>700 tis. Kč</t>
  </si>
  <si>
    <t>0 mil. Kč</t>
  </si>
  <si>
    <t>Majetková hodnota</t>
  </si>
  <si>
    <t>(účetní hodnota)</t>
  </si>
  <si>
    <t>Výnosová hodnota</t>
  </si>
  <si>
    <t>(kapitalizace zisku)</t>
  </si>
  <si>
    <t>(tržní kapitalizace)</t>
  </si>
  <si>
    <t>?</t>
  </si>
  <si>
    <t>Průměr srovnatelných společností</t>
  </si>
  <si>
    <t>Odvození konečné hodnoty akcie</t>
  </si>
  <si>
    <t>Násobitel průměru srovnávaných společnosti</t>
  </si>
  <si>
    <t>Medián srovnatelných společností</t>
  </si>
  <si>
    <t>Nominální hodnota Kč/akcie</t>
  </si>
  <si>
    <t>(+25,0 %)</t>
  </si>
  <si>
    <t>(+10,0 %)</t>
  </si>
  <si>
    <t>(-2,5 %)</t>
  </si>
  <si>
    <t>(+7,0 %)</t>
  </si>
  <si>
    <t>(+20,0 %)</t>
  </si>
  <si>
    <t>Nominální hodnota (Kč/akcie)</t>
  </si>
  <si>
    <t>Emisní kurz (Kč/akcie)</t>
  </si>
  <si>
    <t>Emisní ážio (Kč/akcie)</t>
  </si>
  <si>
    <t>EBIT (Kč)</t>
  </si>
  <si>
    <t>Tržní kapitalizace (Kč)</t>
  </si>
  <si>
    <t>Emisní ážio v Kč</t>
  </si>
  <si>
    <t>Emisní ážio v %</t>
  </si>
  <si>
    <t>Konkurent</t>
  </si>
  <si>
    <t>Bilanční suma (Kč)</t>
  </si>
  <si>
    <t>Tržby (Kč)</t>
  </si>
  <si>
    <t>Hodnota prodeje společnosti (Kč)</t>
  </si>
  <si>
    <t>Multiplikátor</t>
  </si>
  <si>
    <t>Hodnota oceňované společnosti</t>
  </si>
  <si>
    <t>Ocenění na základě srovnatelných transakcí (příklad)</t>
  </si>
  <si>
    <t>Ocenění na základě údajů o podnicích uváděných na burzu (příklad)</t>
  </si>
  <si>
    <t>Ocenění na základě srovnatelných podniků (příklad)</t>
  </si>
  <si>
    <t>Kombinové metody ocenění</t>
  </si>
  <si>
    <t>Ocenění na základě odvětvových multiplikátorů (příklad)</t>
  </si>
  <si>
    <t>Multiplikátor odvětvový</t>
  </si>
  <si>
    <t>Hodnota (Kč/provozovaný vůz)</t>
  </si>
  <si>
    <t>Vozů (ks)</t>
  </si>
  <si>
    <t>Hodnota (Kč)</t>
  </si>
  <si>
    <t>E (v mld. Kč)</t>
  </si>
  <si>
    <t>Podíl na trhu</t>
  </si>
  <si>
    <t>Barton</t>
  </si>
  <si>
    <t>Lutet</t>
  </si>
  <si>
    <t>Ypres</t>
  </si>
  <si>
    <t>Thanet</t>
  </si>
  <si>
    <t>Mont</t>
  </si>
  <si>
    <t>Dan</t>
  </si>
  <si>
    <t>Torton</t>
  </si>
  <si>
    <t>Serreval</t>
  </si>
  <si>
    <t>Příklad - multiplikátor EV/EBITDA</t>
  </si>
  <si>
    <t>Konkurenční společnosti</t>
  </si>
  <si>
    <t>v mld. Kč</t>
  </si>
  <si>
    <t>Provozní náklady</t>
  </si>
  <si>
    <t>z toho odpisy</t>
  </si>
  <si>
    <t>Výpočet</t>
  </si>
  <si>
    <t>Průměrné EV/EBITDA</t>
  </si>
  <si>
    <t>Počet společností</t>
  </si>
  <si>
    <t>EV/EBITDA * E</t>
  </si>
  <si>
    <t>Vážený průměr dle velikosti</t>
  </si>
  <si>
    <t>Vážený průměr dle podílu na trhu</t>
  </si>
  <si>
    <t>EV/EBITDA * podíl na trhu</t>
  </si>
  <si>
    <t>EV (horní hranice)</t>
  </si>
  <si>
    <t>EV (dolní hranice)</t>
  </si>
  <si>
    <t>Ocenění majetku - příklady</t>
  </si>
  <si>
    <t>Možné použité metody</t>
  </si>
  <si>
    <t>nemovitosti</t>
  </si>
  <si>
    <t>motorová vozila</t>
  </si>
  <si>
    <t>nehmotný majetek</t>
  </si>
  <si>
    <t>cenné papíry</t>
  </si>
  <si>
    <t>burza, nominální hodnota</t>
  </si>
  <si>
    <t>ostatní majetek</t>
  </si>
  <si>
    <t>tržní porovnání, dle vyhlášky</t>
  </si>
  <si>
    <t>tržní porovnání, metodika Ústav soudního inženýrství Brno</t>
  </si>
  <si>
    <t>software na ocenění,  tržní porovnání, metodika Ústav soudního inženýrství Brno</t>
  </si>
  <si>
    <t>zásoby</t>
  </si>
  <si>
    <t>dle likvidnosti</t>
  </si>
  <si>
    <t>pohledávky</t>
  </si>
  <si>
    <t>upravit dle doby splatnosti (prof. Šantrůček)</t>
  </si>
  <si>
    <t>výnosové či nákladové metody (Doc. Čada)</t>
  </si>
  <si>
    <t>peníze a finanční majetek</t>
  </si>
  <si>
    <t>ponechány v nominální hodnotě - nejlikvidnější aktivum</t>
  </si>
  <si>
    <t>závazky</t>
  </si>
  <si>
    <t>povinnost podniku vždy splatit všechny své závazky</t>
  </si>
  <si>
    <t>Pořizovací cena (Brutto)</t>
  </si>
  <si>
    <t>Rok pořízení</t>
  </si>
  <si>
    <t>Osobní počítač</t>
  </si>
  <si>
    <t>Pracovní stůl</t>
  </si>
  <si>
    <t>Kancelářská židle</t>
  </si>
  <si>
    <t>Kartotéka</t>
  </si>
  <si>
    <t>Osvětlení</t>
  </si>
  <si>
    <t>Knihovna</t>
  </si>
  <si>
    <t>Stínidla do oken</t>
  </si>
  <si>
    <t>Drobné kancelářské potřeby</t>
  </si>
  <si>
    <t>Mobilní telefon</t>
  </si>
  <si>
    <t>Notebook</t>
  </si>
  <si>
    <t>Klimatizace</t>
  </si>
  <si>
    <t>Rádio</t>
  </si>
  <si>
    <t>Tablet</t>
  </si>
  <si>
    <t>Nástěnná tabule</t>
  </si>
  <si>
    <t>Projektor</t>
  </si>
  <si>
    <t>Promítací plátno</t>
  </si>
  <si>
    <t>Konferenční stůl</t>
  </si>
  <si>
    <t>Kancelářská židle (6 ks)</t>
  </si>
  <si>
    <t xml:space="preserve">Příklad - předpoklady hodnota klesá každoročně o </t>
  </si>
  <si>
    <t>Velikost zůstatkové hodnoty</t>
  </si>
  <si>
    <t>Hodnota majetku po korekci</t>
  </si>
  <si>
    <t>2 940</t>
  </si>
  <si>
    <t>5 850</t>
  </si>
  <si>
    <t>Hodnota majetku podniku k 1.1.2020</t>
  </si>
  <si>
    <t>Stáří majetku</t>
  </si>
  <si>
    <t>Likvidační metoda - příklad</t>
  </si>
  <si>
    <t>Stav peněz</t>
  </si>
  <si>
    <t>Závazky z obchodní činnosti</t>
  </si>
  <si>
    <t>Závazky vůči zaměstnancům</t>
  </si>
  <si>
    <t>Závazky vůči společníkovi</t>
  </si>
  <si>
    <t>Motorové vozidla 2 s</t>
  </si>
  <si>
    <t>1. nabídka</t>
  </si>
  <si>
    <t>2. nabídka</t>
  </si>
  <si>
    <t>Nabídková cena stanovena provnáváním (Kč)</t>
  </si>
  <si>
    <t>Pokladní systém</t>
  </si>
  <si>
    <t>Balička zboží</t>
  </si>
  <si>
    <t>Diskontní míra</t>
  </si>
  <si>
    <t>Současná hodnota majetku</t>
  </si>
  <si>
    <t>Hodnota majetku celkem</t>
  </si>
  <si>
    <t>Hodnota závazků celkem</t>
  </si>
  <si>
    <t>Pohledávka z obchodní činnosti</t>
  </si>
  <si>
    <t>Závazky celkem</t>
  </si>
  <si>
    <t>Majetkové ocenění na principu tržních hodnot - příklad</t>
  </si>
  <si>
    <t>Popis oceňovaného majetku</t>
  </si>
  <si>
    <t>Značka</t>
  </si>
  <si>
    <t>Stáří vozidla</t>
  </si>
  <si>
    <t>Pořizovací cena [Kč]</t>
  </si>
  <si>
    <t>Množství najetých kilometrů</t>
  </si>
  <si>
    <t>Stupeň opotřebení</t>
  </si>
  <si>
    <t>Škoda</t>
  </si>
  <si>
    <t>3 roky</t>
  </si>
  <si>
    <t>Střední</t>
  </si>
  <si>
    <t>4 roky</t>
  </si>
  <si>
    <t>Volkswagen</t>
  </si>
  <si>
    <t>1 rok</t>
  </si>
  <si>
    <t>Zánovní</t>
  </si>
  <si>
    <t>Peugeot</t>
  </si>
  <si>
    <t>Nízký</t>
  </si>
  <si>
    <t>Ford</t>
  </si>
  <si>
    <t>ID</t>
  </si>
  <si>
    <t>Typ nemovitosti</t>
  </si>
  <si>
    <t>Rok dokončení výstavby</t>
  </si>
  <si>
    <t>Celkové stavební náklady [Kč]</t>
  </si>
  <si>
    <r>
      <t>Velikost zastavěné podlahové plochy [m</t>
    </r>
    <r>
      <rPr>
        <b/>
        <vertAlign val="superscript"/>
        <sz val="10"/>
        <color theme="1"/>
        <rFont val="Times New Roman"/>
        <family val="1"/>
        <charset val="238"/>
      </rPr>
      <t>2</t>
    </r>
    <r>
      <rPr>
        <b/>
        <sz val="10"/>
        <color theme="1"/>
        <rFont val="Times New Roman"/>
        <family val="1"/>
        <charset val="238"/>
      </rPr>
      <t>]</t>
    </r>
  </si>
  <si>
    <t>Administrativní budova</t>
  </si>
  <si>
    <t>3 500 000</t>
  </si>
  <si>
    <t>Garáž</t>
  </si>
  <si>
    <t>1 000 000</t>
  </si>
  <si>
    <t>Drobný hmotný majetek oceněn</t>
  </si>
  <si>
    <t>3. nabídka</t>
  </si>
  <si>
    <t>4. nabídka</t>
  </si>
  <si>
    <t>5. nabídka</t>
  </si>
  <si>
    <t>Motorové vozidla ID1</t>
  </si>
  <si>
    <t>Motorové vozidla ID2</t>
  </si>
  <si>
    <t>Motorové vozidla ID3</t>
  </si>
  <si>
    <t>Motorové vozidla ID4</t>
  </si>
  <si>
    <t>Motorové vozidla ID5</t>
  </si>
  <si>
    <t>Majetková hodnota oceňovaného podniku</t>
  </si>
  <si>
    <t>Příklad kombinové metody</t>
  </si>
  <si>
    <t>Přepoklady</t>
  </si>
  <si>
    <t>Substančí hodnota netto</t>
  </si>
  <si>
    <t>míra ik</t>
  </si>
  <si>
    <t>Kalkulovaný úrok:</t>
  </si>
  <si>
    <t>míra ik2</t>
  </si>
  <si>
    <t>Normální čistý výnos</t>
  </si>
  <si>
    <t>Hdnota "firmy"</t>
  </si>
  <si>
    <t>Hodnota podniku celkem</t>
  </si>
  <si>
    <t>Hodnota substance</t>
  </si>
  <si>
    <t>Výplata dividend a podílů ze zisku (doplněno)</t>
  </si>
  <si>
    <t>Ukazatel</t>
  </si>
  <si>
    <r>
      <t xml:space="preserve">c) Vedlejší činnost </t>
    </r>
    <r>
      <rPr>
        <sz val="12"/>
        <rFont val="Calibri"/>
        <family val="2"/>
        <charset val="238"/>
        <scheme val="minor"/>
      </rPr>
      <t>- náklady a výnosy spojené s neprovozním majetkem, mimořádné opoložky</t>
    </r>
  </si>
  <si>
    <r>
      <t>Korigovaný provozní VH před daní (KPVH</t>
    </r>
    <r>
      <rPr>
        <b/>
        <vertAlign val="subscript"/>
        <sz val="10"/>
        <rFont val="Calibri"/>
        <family val="2"/>
        <charset val="238"/>
        <scheme val="minor"/>
      </rPr>
      <t>d</t>
    </r>
    <r>
      <rPr>
        <b/>
        <sz val="10"/>
        <rFont val="Calibri"/>
        <family val="2"/>
        <charset val="238"/>
        <scheme val="minor"/>
      </rPr>
      <t>)</t>
    </r>
  </si>
  <si>
    <r>
      <t>Daň připadající na korigovaný VH (d x KPVH</t>
    </r>
    <r>
      <rPr>
        <vertAlign val="subscript"/>
        <sz val="10"/>
        <rFont val="Calibri"/>
        <family val="2"/>
        <charset val="238"/>
        <scheme val="minor"/>
      </rPr>
      <t>d</t>
    </r>
    <r>
      <rPr>
        <sz val="10"/>
        <rFont val="Calibri"/>
        <family val="2"/>
        <charset val="238"/>
        <scheme val="minor"/>
      </rPr>
      <t>)</t>
    </r>
  </si>
  <si>
    <r>
      <t xml:space="preserve">Rentabilita účetní </t>
    </r>
    <r>
      <rPr>
        <b/>
        <sz val="10"/>
        <rFont val="Calibri"/>
        <family val="2"/>
        <charset val="238"/>
        <scheme val="minor"/>
      </rPr>
      <t>(rentability kapitálu jsou počítány ze stavu kapitálu ke konci roku)</t>
    </r>
  </si>
  <si>
    <r>
      <t xml:space="preserve">Rentabilita hlavního provozu </t>
    </r>
    <r>
      <rPr>
        <b/>
        <sz val="10"/>
        <rFont val="Calibri"/>
        <family val="2"/>
        <charset val="238"/>
        <scheme val="minor"/>
      </rPr>
      <t>(rentabilita kapitálu je počítána ze stavu kapitálu k začátku roku)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</si>
</sst>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#,##0\ &quot;Kč&quot;;[Red]\-#,##0\ &quot;Kč&quot;"/>
    <numFmt numFmtId="43" formatCode="_-* #,##0.00_-;\-* #,##0.00_-;_-* &quot;-&quot;??_-;_-@_-"/>
    <numFmt numFmtId="164" formatCode="#,##0\ &quot;Kč&quot;"/>
    <numFmt numFmtId="165" formatCode="0.0"/>
    <numFmt numFmtId="166" formatCode="0.000"/>
    <numFmt numFmtId="167" formatCode="0.0%"/>
    <numFmt numFmtId="168" formatCode="0_);\-0_)"/>
    <numFmt numFmtId="169" formatCode="0_);\-0_);"/>
    <numFmt numFmtId="170" formatCode="#,##0_);[Red]\-#,##0_)"/>
    <numFmt numFmtId="171" formatCode="#,##0_)"/>
    <numFmt numFmtId="172" formatCode="_-* #,##0_-;\-* #,##0_-;_-* &quot;-&quot;??_-;_-@_-"/>
    <numFmt numFmtId="173" formatCode="#,##0.00_)"/>
    <numFmt numFmtId="174" formatCode="#,##0.0_)"/>
    <numFmt numFmtId="175" formatCode="0.0000"/>
    <numFmt numFmtId="176" formatCode="#,##0.0"/>
    <numFmt numFmtId="177" formatCode="#,##0.0000"/>
    <numFmt numFmtId="178" formatCode="#,##0.000"/>
    <numFmt numFmtId="179" formatCode="#,##0_ ;\-#,##0\ "/>
    <numFmt numFmtId="180" formatCode="0_X"/>
    <numFmt numFmtId="181" formatCode="0_)"/>
    <numFmt numFmtId="182" formatCode="0.00000"/>
    <numFmt numFmtId="183" formatCode="_-* #,##0.00000_-;\-* #,##0.00000_-;_-* &quot;-&quot;??_-;_-@_-"/>
  </numFmts>
  <fonts count="8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Arial"/>
      <family val="2"/>
    </font>
    <font>
      <b/>
      <sz val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indexed="8"/>
      <name val="Arial CE"/>
      <family val="2"/>
      <charset val="238"/>
    </font>
    <font>
      <sz val="10"/>
      <color rgb="FF00B0F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vertAlign val="subscript"/>
      <sz val="10"/>
      <name val="Arial CE"/>
      <family val="2"/>
      <charset val="238"/>
    </font>
    <font>
      <vertAlign val="subscript"/>
      <sz val="10"/>
      <name val="Arial CE"/>
      <family val="2"/>
      <charset val="238"/>
    </font>
    <font>
      <b/>
      <sz val="10"/>
      <name val="Arial CE"/>
      <charset val="238"/>
    </font>
    <font>
      <vertAlign val="subscript"/>
      <sz val="10"/>
      <name val="Calibri"/>
      <family val="2"/>
      <charset val="238"/>
      <scheme val="minor"/>
    </font>
    <font>
      <i/>
      <sz val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9"/>
      <name val="Times New Roman CE"/>
      <charset val="238"/>
    </font>
    <font>
      <b/>
      <vertAlign val="superscript"/>
      <sz val="9"/>
      <name val="Arial CE"/>
      <family val="2"/>
      <charset val="238"/>
    </font>
    <font>
      <b/>
      <vertAlign val="subscript"/>
      <sz val="9"/>
      <name val="Arial CE"/>
      <family val="2"/>
      <charset val="238"/>
    </font>
    <font>
      <b/>
      <sz val="9"/>
      <color indexed="18"/>
      <name val="Arial CE"/>
      <family val="2"/>
      <charset val="238"/>
    </font>
    <font>
      <i/>
      <sz val="9"/>
      <name val="Arial CE"/>
      <family val="2"/>
      <charset val="238"/>
    </font>
    <font>
      <sz val="9"/>
      <name val="Calibri"/>
      <family val="2"/>
      <charset val="238"/>
      <scheme val="minor"/>
    </font>
    <font>
      <b/>
      <sz val="12"/>
      <color indexed="16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charset val="238"/>
    </font>
    <font>
      <b/>
      <sz val="12"/>
      <color indexed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i/>
      <sz val="9"/>
      <color indexed="16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color indexed="16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9" tint="-0.499984740745262"/>
      <name val="Calibri"/>
      <family val="2"/>
      <charset val="238"/>
      <scheme val="minor"/>
    </font>
    <font>
      <sz val="10"/>
      <color theme="9" tint="-0.499984740745262"/>
      <name val="Calibri"/>
      <family val="2"/>
      <charset val="238"/>
      <scheme val="minor"/>
    </font>
    <font>
      <i/>
      <sz val="10"/>
      <color theme="9" tint="-0.249977111117893"/>
      <name val="Calibri"/>
      <family val="2"/>
      <charset val="238"/>
    </font>
    <font>
      <i/>
      <sz val="10"/>
      <color theme="9" tint="-0.249977111117893"/>
      <name val="Calibri"/>
      <family val="2"/>
      <charset val="238"/>
      <scheme val="minor"/>
    </font>
    <font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2"/>
      <color theme="5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vertAlign val="superscript"/>
      <sz val="10"/>
      <color theme="1"/>
      <name val="Times New Roman"/>
      <family val="1"/>
      <charset val="238"/>
    </font>
    <font>
      <sz val="11"/>
      <color theme="5" tint="-0.499984740745262"/>
      <name val="Calibri"/>
      <family val="2"/>
      <charset val="238"/>
      <scheme val="minor"/>
    </font>
    <font>
      <sz val="10"/>
      <color theme="5" tint="-0.499984740745262"/>
      <name val="Calibri"/>
      <family val="2"/>
      <charset val="238"/>
      <scheme val="minor"/>
    </font>
    <font>
      <b/>
      <sz val="10"/>
      <color theme="5" tint="-0.49998474074526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vertAlign val="subscript"/>
      <sz val="10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11"/>
      </patternFill>
    </fill>
    <fill>
      <patternFill patternType="solid">
        <fgColor indexed="26"/>
        <bgColor indexed="13"/>
      </patternFill>
    </fill>
    <fill>
      <patternFill patternType="solid">
        <fgColor indexed="9"/>
        <bgColor indexed="13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9"/>
      </left>
      <right/>
      <top/>
      <bottom/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23" fillId="23" borderId="0" applyBorder="0">
      <alignment horizontal="left"/>
    </xf>
    <xf numFmtId="168" fontId="23" fillId="24" borderId="16" applyNumberFormat="0" applyBorder="0">
      <alignment horizontal="center" vertical="center"/>
    </xf>
    <xf numFmtId="169" fontId="24" fillId="25" borderId="0" applyBorder="0">
      <alignment horizontal="left"/>
    </xf>
    <xf numFmtId="170" fontId="25" fillId="26" borderId="1">
      <protection locked="0"/>
    </xf>
    <xf numFmtId="169" fontId="23" fillId="25" borderId="0" applyBorder="0">
      <alignment horizontal="left"/>
    </xf>
    <xf numFmtId="170" fontId="24" fillId="27" borderId="1"/>
    <xf numFmtId="0" fontId="50" fillId="0" borderId="0"/>
    <xf numFmtId="0" fontId="52" fillId="0" borderId="0" applyNumberFormat="0" applyFill="0" applyBorder="0" applyAlignment="0" applyProtection="0">
      <alignment vertical="top"/>
      <protection locked="0"/>
    </xf>
    <xf numFmtId="9" fontId="21" fillId="0" borderId="0" applyFont="0" applyFill="0" applyBorder="0" applyAlignment="0" applyProtection="0"/>
    <xf numFmtId="9" fontId="50" fillId="0" borderId="0" applyFont="0" applyFill="0" applyBorder="0" applyAlignment="0" applyProtection="0"/>
    <xf numFmtId="181" fontId="23" fillId="34" borderId="0" applyBorder="0"/>
    <xf numFmtId="181" fontId="24" fillId="34" borderId="0" applyBorder="0"/>
    <xf numFmtId="168" fontId="23" fillId="34" borderId="0" applyBorder="0">
      <alignment horizontal="left"/>
    </xf>
    <xf numFmtId="168" fontId="24" fillId="34" borderId="0" applyBorder="0">
      <alignment horizontal="left"/>
    </xf>
    <xf numFmtId="170" fontId="24" fillId="35" borderId="1"/>
    <xf numFmtId="0" fontId="50" fillId="23" borderId="21" applyBorder="0"/>
  </cellStyleXfs>
  <cellXfs count="891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/>
    <xf numFmtId="0" fontId="4" fillId="4" borderId="0" xfId="0" applyFont="1" applyFill="1"/>
    <xf numFmtId="0" fontId="7" fillId="2" borderId="0" xfId="0" applyFont="1" applyFill="1"/>
    <xf numFmtId="0" fontId="6" fillId="5" borderId="0" xfId="0" applyFont="1" applyFill="1" applyAlignment="1">
      <alignment vertical="center"/>
    </xf>
    <xf numFmtId="0" fontId="6" fillId="6" borderId="0" xfId="0" applyFont="1" applyFill="1"/>
    <xf numFmtId="0" fontId="4" fillId="6" borderId="0" xfId="0" applyFont="1" applyFill="1"/>
    <xf numFmtId="0" fontId="7" fillId="7" borderId="0" xfId="0" applyFont="1" applyFill="1"/>
    <xf numFmtId="0" fontId="4" fillId="9" borderId="0" xfId="0" applyFont="1" applyFill="1"/>
    <xf numFmtId="0" fontId="0" fillId="3" borderId="0" xfId="0" applyFill="1"/>
    <xf numFmtId="0" fontId="6" fillId="0" borderId="0" xfId="0" applyFont="1" applyAlignment="1">
      <alignment horizontal="center" vertical="center"/>
    </xf>
    <xf numFmtId="0" fontId="7" fillId="3" borderId="0" xfId="0" applyFont="1" applyFill="1"/>
    <xf numFmtId="0" fontId="2" fillId="3" borderId="0" xfId="0" applyFont="1" applyFill="1"/>
    <xf numFmtId="164" fontId="2" fillId="5" borderId="0" xfId="0" applyNumberFormat="1" applyFont="1" applyFill="1"/>
    <xf numFmtId="164" fontId="2" fillId="2" borderId="0" xfId="0" applyNumberFormat="1" applyFont="1" applyFill="1"/>
    <xf numFmtId="164" fontId="2" fillId="3" borderId="0" xfId="0" applyNumberFormat="1" applyFont="1" applyFill="1"/>
    <xf numFmtId="164" fontId="0" fillId="4" borderId="0" xfId="0" applyNumberFormat="1" applyFill="1"/>
    <xf numFmtId="0" fontId="7" fillId="8" borderId="0" xfId="0" applyFont="1" applyFill="1"/>
    <xf numFmtId="164" fontId="2" fillId="6" borderId="0" xfId="0" applyNumberFormat="1" applyFont="1" applyFill="1"/>
    <xf numFmtId="164" fontId="2" fillId="7" borderId="0" xfId="0" applyNumberFormat="1" applyFont="1" applyFill="1"/>
    <xf numFmtId="164" fontId="2" fillId="8" borderId="0" xfId="0" applyNumberFormat="1" applyFont="1" applyFill="1"/>
    <xf numFmtId="164" fontId="0" fillId="9" borderId="0" xfId="0" applyNumberFormat="1" applyFill="1"/>
    <xf numFmtId="0" fontId="4" fillId="10" borderId="0" xfId="0" applyFont="1" applyFill="1"/>
    <xf numFmtId="0" fontId="4" fillId="11" borderId="0" xfId="0" applyFont="1" applyFill="1"/>
    <xf numFmtId="0" fontId="7" fillId="12" borderId="0" xfId="0" applyFont="1" applyFill="1"/>
    <xf numFmtId="0" fontId="4" fillId="0" borderId="0" xfId="0" applyFont="1" applyBorder="1"/>
    <xf numFmtId="164" fontId="8" fillId="11" borderId="0" xfId="0" applyNumberFormat="1" applyFont="1" applyFill="1" applyBorder="1" applyAlignment="1">
      <alignment horizontal="right"/>
    </xf>
    <xf numFmtId="164" fontId="0" fillId="11" borderId="0" xfId="0" applyNumberFormat="1" applyFill="1"/>
    <xf numFmtId="164" fontId="8" fillId="10" borderId="0" xfId="0" applyNumberFormat="1" applyFont="1" applyFill="1" applyBorder="1" applyAlignment="1">
      <alignment horizontal="right"/>
    </xf>
    <xf numFmtId="164" fontId="9" fillId="12" borderId="0" xfId="0" applyNumberFormat="1" applyFont="1" applyFill="1" applyBorder="1" applyAlignment="1">
      <alignment horizontal="right"/>
    </xf>
    <xf numFmtId="164" fontId="2" fillId="12" borderId="0" xfId="0" applyNumberFormat="1" applyFont="1" applyFill="1"/>
    <xf numFmtId="0" fontId="7" fillId="10" borderId="0" xfId="0" applyFont="1" applyFill="1"/>
    <xf numFmtId="164" fontId="9" fillId="10" borderId="0" xfId="0" applyNumberFormat="1" applyFont="1" applyFill="1" applyBorder="1" applyAlignment="1">
      <alignment horizontal="right"/>
    </xf>
    <xf numFmtId="164" fontId="2" fillId="10" borderId="0" xfId="0" applyNumberFormat="1" applyFont="1" applyFill="1"/>
    <xf numFmtId="0" fontId="7" fillId="13" borderId="0" xfId="0" applyFont="1" applyFill="1"/>
    <xf numFmtId="164" fontId="9" fillId="13" borderId="0" xfId="0" applyNumberFormat="1" applyFont="1" applyFill="1" applyBorder="1" applyAlignment="1">
      <alignment horizontal="right"/>
    </xf>
    <xf numFmtId="164" fontId="5" fillId="4" borderId="0" xfId="0" applyNumberFormat="1" applyFont="1" applyFill="1"/>
    <xf numFmtId="0" fontId="0" fillId="15" borderId="0" xfId="0" applyFill="1"/>
    <xf numFmtId="0" fontId="10" fillId="15" borderId="0" xfId="0" applyFont="1" applyFill="1"/>
    <xf numFmtId="164" fontId="0" fillId="19" borderId="0" xfId="0" applyNumberFormat="1" applyFill="1" applyBorder="1"/>
    <xf numFmtId="0" fontId="2" fillId="20" borderId="0" xfId="0" applyFont="1" applyFill="1"/>
    <xf numFmtId="0" fontId="14" fillId="15" borderId="0" xfId="0" applyFont="1" applyFill="1"/>
    <xf numFmtId="0" fontId="14" fillId="0" borderId="0" xfId="0" applyFont="1" applyFill="1"/>
    <xf numFmtId="0" fontId="15" fillId="14" borderId="0" xfId="0" applyFont="1" applyFill="1" applyAlignment="1">
      <alignment horizontal="left"/>
    </xf>
    <xf numFmtId="1" fontId="15" fillId="0" borderId="0" xfId="0" applyNumberFormat="1" applyFont="1" applyFill="1" applyBorder="1"/>
    <xf numFmtId="0" fontId="14" fillId="0" borderId="0" xfId="0" applyFont="1" applyFill="1" applyBorder="1"/>
    <xf numFmtId="0" fontId="14" fillId="0" borderId="0" xfId="0" applyFont="1" applyFill="1" applyBorder="1" applyAlignment="1"/>
    <xf numFmtId="2" fontId="0" fillId="19" borderId="0" xfId="0" applyNumberFormat="1" applyFill="1" applyBorder="1"/>
    <xf numFmtId="1" fontId="0" fillId="19" borderId="0" xfId="0" applyNumberFormat="1" applyFill="1" applyBorder="1"/>
    <xf numFmtId="1" fontId="0" fillId="19" borderId="6" xfId="0" applyNumberFormat="1" applyFill="1" applyBorder="1"/>
    <xf numFmtId="1" fontId="0" fillId="19" borderId="8" xfId="0" applyNumberFormat="1" applyFill="1" applyBorder="1"/>
    <xf numFmtId="1" fontId="0" fillId="19" borderId="9" xfId="0" applyNumberFormat="1" applyFill="1" applyBorder="1"/>
    <xf numFmtId="164" fontId="0" fillId="19" borderId="0" xfId="0" applyNumberFormat="1" applyFont="1" applyFill="1" applyBorder="1" applyAlignment="1"/>
    <xf numFmtId="164" fontId="0" fillId="19" borderId="6" xfId="0" applyNumberFormat="1" applyFont="1" applyFill="1" applyBorder="1" applyAlignment="1"/>
    <xf numFmtId="164" fontId="0" fillId="19" borderId="8" xfId="0" applyNumberFormat="1" applyFont="1" applyFill="1" applyBorder="1"/>
    <xf numFmtId="164" fontId="0" fillId="19" borderId="9" xfId="0" applyNumberFormat="1" applyFont="1" applyFill="1" applyBorder="1"/>
    <xf numFmtId="0" fontId="6" fillId="3" borderId="0" xfId="0" applyFont="1" applyFill="1"/>
    <xf numFmtId="164" fontId="5" fillId="4" borderId="0" xfId="1" applyNumberFormat="1" applyFont="1" applyFill="1"/>
    <xf numFmtId="0" fontId="0" fillId="0" borderId="1" xfId="0" applyBorder="1"/>
    <xf numFmtId="2" fontId="2" fillId="3" borderId="0" xfId="0" applyNumberFormat="1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6" fillId="17" borderId="10" xfId="0" applyFont="1" applyFill="1" applyBorder="1" applyAlignment="1">
      <alignment horizontal="center" vertical="center" wrapText="1"/>
    </xf>
    <xf numFmtId="0" fontId="16" fillId="17" borderId="13" xfId="0" applyFont="1" applyFill="1" applyBorder="1" applyAlignment="1">
      <alignment horizontal="center" vertical="center" wrapText="1"/>
    </xf>
    <xf numFmtId="0" fontId="5" fillId="3" borderId="0" xfId="0" applyFont="1" applyFill="1"/>
    <xf numFmtId="165" fontId="6" fillId="3" borderId="0" xfId="0" applyNumberFormat="1" applyFont="1" applyFill="1" applyBorder="1"/>
    <xf numFmtId="2" fontId="6" fillId="3" borderId="0" xfId="0" applyNumberFormat="1" applyFont="1" applyFill="1" applyBorder="1"/>
    <xf numFmtId="1" fontId="6" fillId="3" borderId="0" xfId="0" applyNumberFormat="1" applyFont="1" applyFill="1" applyBorder="1"/>
    <xf numFmtId="166" fontId="6" fillId="3" borderId="0" xfId="0" applyNumberFormat="1" applyFont="1" applyFill="1" applyBorder="1"/>
    <xf numFmtId="0" fontId="6" fillId="3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164" fontId="0" fillId="0" borderId="0" xfId="0" applyNumberFormat="1" applyFill="1"/>
    <xf numFmtId="0" fontId="2" fillId="0" borderId="11" xfId="0" applyFont="1" applyFill="1" applyBorder="1" applyAlignment="1">
      <alignment horizontal="left"/>
    </xf>
    <xf numFmtId="0" fontId="17" fillId="17" borderId="14" xfId="0" applyFont="1" applyFill="1" applyBorder="1" applyAlignment="1">
      <alignment vertical="center" wrapText="1"/>
    </xf>
    <xf numFmtId="0" fontId="17" fillId="17" borderId="15" xfId="0" applyFont="1" applyFill="1" applyBorder="1" applyAlignment="1">
      <alignment vertical="center" wrapText="1"/>
    </xf>
    <xf numFmtId="166" fontId="2" fillId="3" borderId="0" xfId="0" applyNumberFormat="1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right"/>
    </xf>
    <xf numFmtId="0" fontId="2" fillId="21" borderId="1" xfId="0" applyFont="1" applyFill="1" applyBorder="1" applyAlignment="1">
      <alignment horizontal="center"/>
    </xf>
    <xf numFmtId="0" fontId="0" fillId="21" borderId="1" xfId="0" applyFill="1" applyBorder="1"/>
    <xf numFmtId="0" fontId="0" fillId="11" borderId="0" xfId="0" applyFill="1"/>
    <xf numFmtId="166" fontId="5" fillId="4" borderId="0" xfId="0" applyNumberFormat="1" applyFont="1" applyFill="1"/>
    <xf numFmtId="4" fontId="6" fillId="3" borderId="0" xfId="0" applyNumberFormat="1" applyFont="1" applyFill="1" applyBorder="1"/>
    <xf numFmtId="0" fontId="5" fillId="4" borderId="0" xfId="0" applyFont="1" applyFill="1"/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0" fillId="14" borderId="0" xfId="0" applyFill="1" applyAlignment="1"/>
    <xf numFmtId="0" fontId="0" fillId="0" borderId="0" xfId="0" applyFill="1" applyAlignment="1"/>
    <xf numFmtId="9" fontId="0" fillId="19" borderId="0" xfId="2" applyFont="1" applyFill="1" applyBorder="1"/>
    <xf numFmtId="10" fontId="0" fillId="19" borderId="0" xfId="2" applyNumberFormat="1" applyFont="1" applyFill="1" applyBorder="1"/>
    <xf numFmtId="0" fontId="0" fillId="20" borderId="0" xfId="0" applyFill="1" applyAlignment="1"/>
    <xf numFmtId="0" fontId="0" fillId="20" borderId="0" xfId="0" applyFill="1" applyAlignment="1">
      <alignment vertical="center"/>
    </xf>
    <xf numFmtId="0" fontId="0" fillId="0" borderId="0" xfId="0" applyAlignment="1">
      <alignment vertical="center"/>
    </xf>
    <xf numFmtId="0" fontId="2" fillId="20" borderId="0" xfId="0" applyFont="1" applyFill="1" applyAlignment="1"/>
    <xf numFmtId="164" fontId="19" fillId="9" borderId="0" xfId="0" applyNumberFormat="1" applyFont="1" applyFill="1"/>
    <xf numFmtId="164" fontId="19" fillId="4" borderId="0" xfId="0" applyNumberFormat="1" applyFont="1" applyFill="1"/>
    <xf numFmtId="10" fontId="0" fillId="9" borderId="0" xfId="2" applyNumberFormat="1" applyFont="1" applyFill="1"/>
    <xf numFmtId="0" fontId="7" fillId="8" borderId="11" xfId="0" applyFont="1" applyFill="1" applyBorder="1"/>
    <xf numFmtId="164" fontId="2" fillId="8" borderId="12" xfId="0" applyNumberFormat="1" applyFont="1" applyFill="1" applyBorder="1"/>
    <xf numFmtId="0" fontId="19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2" fontId="5" fillId="4" borderId="0" xfId="0" applyNumberFormat="1" applyFont="1" applyFill="1"/>
    <xf numFmtId="2" fontId="5" fillId="9" borderId="0" xfId="0" applyNumberFormat="1" applyFont="1" applyFill="1"/>
    <xf numFmtId="2" fontId="0" fillId="9" borderId="0" xfId="0" applyNumberFormat="1" applyFill="1"/>
    <xf numFmtId="0" fontId="6" fillId="2" borderId="0" xfId="0" applyFont="1" applyFill="1"/>
    <xf numFmtId="0" fontId="5" fillId="20" borderId="0" xfId="0" applyFont="1" applyFill="1"/>
    <xf numFmtId="164" fontId="20" fillId="8" borderId="0" xfId="0" applyNumberFormat="1" applyFont="1" applyFill="1"/>
    <xf numFmtId="3" fontId="5" fillId="3" borderId="0" xfId="0" applyNumberFormat="1" applyFont="1" applyFill="1"/>
    <xf numFmtId="3" fontId="5" fillId="4" borderId="0" xfId="0" applyNumberFormat="1" applyFont="1" applyFill="1"/>
    <xf numFmtId="2" fontId="5" fillId="4" borderId="0" xfId="0" applyNumberFormat="1" applyFont="1" applyFill="1" applyBorder="1"/>
    <xf numFmtId="3" fontId="6" fillId="3" borderId="0" xfId="0" applyNumberFormat="1" applyFont="1" applyFill="1"/>
    <xf numFmtId="3" fontId="6" fillId="2" borderId="0" xfId="0" applyNumberFormat="1" applyFont="1" applyFill="1"/>
    <xf numFmtId="1" fontId="5" fillId="0" borderId="0" xfId="0" applyNumberFormat="1" applyFont="1"/>
    <xf numFmtId="167" fontId="5" fillId="9" borderId="0" xfId="2" applyNumberFormat="1" applyFont="1" applyFill="1"/>
    <xf numFmtId="3" fontId="5" fillId="9" borderId="0" xfId="0" applyNumberFormat="1" applyFont="1" applyFill="1"/>
    <xf numFmtId="167" fontId="5" fillId="4" borderId="0" xfId="2" applyNumberFormat="1" applyFont="1" applyFill="1"/>
    <xf numFmtId="0" fontId="0" fillId="20" borderId="0" xfId="0" applyFill="1"/>
    <xf numFmtId="0" fontId="5" fillId="4" borderId="0" xfId="0" applyFont="1" applyFill="1" applyAlignment="1"/>
    <xf numFmtId="10" fontId="5" fillId="4" borderId="0" xfId="2" applyNumberFormat="1" applyFont="1" applyFill="1"/>
    <xf numFmtId="10" fontId="5" fillId="9" borderId="0" xfId="2" applyNumberFormat="1" applyFont="1" applyFill="1"/>
    <xf numFmtId="0" fontId="5" fillId="14" borderId="0" xfId="0" applyFont="1" applyFill="1"/>
    <xf numFmtId="10" fontId="6" fillId="4" borderId="0" xfId="2" applyNumberFormat="1" applyFont="1" applyFill="1"/>
    <xf numFmtId="10" fontId="6" fillId="9" borderId="0" xfId="2" applyNumberFormat="1" applyFont="1" applyFill="1"/>
    <xf numFmtId="2" fontId="6" fillId="4" borderId="0" xfId="0" applyNumberFormat="1" applyFont="1" applyFill="1"/>
    <xf numFmtId="2" fontId="6" fillId="9" borderId="0" xfId="0" applyNumberFormat="1" applyFont="1" applyFill="1"/>
    <xf numFmtId="2" fontId="5" fillId="4" borderId="0" xfId="2" applyNumberFormat="1" applyFont="1" applyFill="1"/>
    <xf numFmtId="0" fontId="5" fillId="9" borderId="0" xfId="0" applyFont="1" applyFill="1"/>
    <xf numFmtId="0" fontId="0" fillId="9" borderId="0" xfId="0" applyFill="1"/>
    <xf numFmtId="0" fontId="5" fillId="4" borderId="0" xfId="0" applyFont="1" applyFill="1" applyAlignment="1">
      <alignment horizontal="left"/>
    </xf>
    <xf numFmtId="0" fontId="6" fillId="4" borderId="0" xfId="0" applyFont="1" applyFill="1"/>
    <xf numFmtId="3" fontId="6" fillId="4" borderId="0" xfId="0" applyNumberFormat="1" applyFont="1" applyFill="1"/>
    <xf numFmtId="0" fontId="5" fillId="0" borderId="0" xfId="0" applyFont="1" applyFill="1"/>
    <xf numFmtId="0" fontId="22" fillId="0" borderId="0" xfId="0" applyFont="1"/>
    <xf numFmtId="0" fontId="22" fillId="2" borderId="0" xfId="0" applyFont="1" applyFill="1"/>
    <xf numFmtId="0" fontId="0" fillId="20" borderId="0" xfId="0" applyFont="1" applyFill="1"/>
    <xf numFmtId="169" fontId="21" fillId="0" borderId="0" xfId="5" applyFont="1" applyFill="1" applyBorder="1">
      <alignment horizontal="left"/>
    </xf>
    <xf numFmtId="0" fontId="19" fillId="0" borderId="0" xfId="0" applyFont="1" applyFill="1" applyBorder="1"/>
    <xf numFmtId="0" fontId="19" fillId="2" borderId="0" xfId="0" applyFont="1" applyFill="1" applyBorder="1"/>
    <xf numFmtId="0" fontId="0" fillId="0" borderId="0" xfId="0" applyFont="1" applyFill="1"/>
    <xf numFmtId="0" fontId="19" fillId="3" borderId="0" xfId="0" applyFont="1" applyFill="1" applyBorder="1"/>
    <xf numFmtId="169" fontId="22" fillId="3" borderId="0" xfId="5" applyFont="1" applyFill="1" applyBorder="1">
      <alignment horizontal="left"/>
    </xf>
    <xf numFmtId="0" fontId="0" fillId="0" borderId="0" xfId="0" applyBorder="1"/>
    <xf numFmtId="167" fontId="0" fillId="0" borderId="0" xfId="0" applyNumberFormat="1" applyBorder="1"/>
    <xf numFmtId="1" fontId="20" fillId="7" borderId="0" xfId="0" applyNumberFormat="1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1" fontId="22" fillId="7" borderId="0" xfId="3" applyFont="1" applyFill="1" applyBorder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8" fillId="2" borderId="0" xfId="0" applyFont="1" applyFill="1"/>
    <xf numFmtId="0" fontId="28" fillId="0" borderId="0" xfId="0" applyFont="1"/>
    <xf numFmtId="0" fontId="28" fillId="3" borderId="0" xfId="0" applyFont="1" applyFill="1"/>
    <xf numFmtId="3" fontId="5" fillId="4" borderId="0" xfId="0" applyNumberFormat="1" applyFont="1" applyFill="1" applyAlignment="1"/>
    <xf numFmtId="0" fontId="29" fillId="3" borderId="0" xfId="0" applyFont="1" applyFill="1"/>
    <xf numFmtId="0" fontId="28" fillId="14" borderId="0" xfId="0" applyFont="1" applyFill="1"/>
    <xf numFmtId="3" fontId="5" fillId="4" borderId="0" xfId="0" applyNumberFormat="1" applyFont="1" applyFill="1" applyAlignment="1">
      <alignment horizontal="center" vertical="center"/>
    </xf>
    <xf numFmtId="3" fontId="6" fillId="4" borderId="0" xfId="0" applyNumberFormat="1" applyFont="1" applyFill="1" applyAlignment="1"/>
    <xf numFmtId="3" fontId="6" fillId="4" borderId="0" xfId="0" applyNumberFormat="1" applyFont="1" applyFill="1" applyAlignment="1">
      <alignment horizontal="center" vertical="center"/>
    </xf>
    <xf numFmtId="10" fontId="6" fillId="4" borderId="0" xfId="2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7" borderId="0" xfId="0" applyFont="1" applyFill="1" applyAlignment="1">
      <alignment horizontal="center" vertical="center"/>
    </xf>
    <xf numFmtId="3" fontId="28" fillId="0" borderId="0" xfId="0" applyNumberFormat="1" applyFont="1"/>
    <xf numFmtId="0" fontId="28" fillId="9" borderId="0" xfId="0" applyFont="1" applyFill="1"/>
    <xf numFmtId="3" fontId="28" fillId="9" borderId="0" xfId="0" applyNumberFormat="1" applyFont="1" applyFill="1"/>
    <xf numFmtId="0" fontId="28" fillId="4" borderId="0" xfId="0" applyFont="1" applyFill="1"/>
    <xf numFmtId="3" fontId="28" fillId="4" borderId="0" xfId="0" applyNumberFormat="1" applyFont="1" applyFill="1"/>
    <xf numFmtId="3" fontId="29" fillId="7" borderId="0" xfId="0" applyNumberFormat="1" applyFont="1" applyFill="1"/>
    <xf numFmtId="0" fontId="5" fillId="7" borderId="0" xfId="0" applyFont="1" applyFill="1"/>
    <xf numFmtId="3" fontId="6" fillId="9" borderId="0" xfId="0" applyNumberFormat="1" applyFont="1" applyFill="1"/>
    <xf numFmtId="0" fontId="6" fillId="4" borderId="0" xfId="0" applyFont="1" applyFill="1" applyAlignment="1">
      <alignment horizontal="center" vertical="center"/>
    </xf>
    <xf numFmtId="0" fontId="2" fillId="0" borderId="0" xfId="0" applyFont="1"/>
    <xf numFmtId="0" fontId="0" fillId="22" borderId="0" xfId="0" applyFill="1"/>
    <xf numFmtId="0" fontId="0" fillId="0" borderId="0" xfId="0" applyFont="1"/>
    <xf numFmtId="169" fontId="32" fillId="2" borderId="0" xfId="5" applyFont="1" applyFill="1" applyBorder="1">
      <alignment horizontal="left"/>
    </xf>
    <xf numFmtId="171" fontId="2" fillId="4" borderId="0" xfId="0" applyNumberFormat="1" applyFont="1" applyFill="1"/>
    <xf numFmtId="171" fontId="2" fillId="9" borderId="0" xfId="0" applyNumberFormat="1" applyFont="1" applyFill="1"/>
    <xf numFmtId="0" fontId="0" fillId="4" borderId="0" xfId="0" applyFill="1"/>
    <xf numFmtId="3" fontId="0" fillId="0" borderId="0" xfId="0" applyNumberFormat="1"/>
    <xf numFmtId="0" fontId="19" fillId="22" borderId="0" xfId="0" applyFont="1" applyFill="1"/>
    <xf numFmtId="0" fontId="29" fillId="22" borderId="0" xfId="0" applyFont="1" applyFill="1"/>
    <xf numFmtId="0" fontId="29" fillId="0" borderId="0" xfId="0" applyFont="1"/>
    <xf numFmtId="3" fontId="29" fillId="0" borderId="0" xfId="0" applyNumberFormat="1" applyFont="1"/>
    <xf numFmtId="0" fontId="29" fillId="20" borderId="0" xfId="0" applyFont="1" applyFill="1" applyAlignment="1">
      <alignment horizontal="left" vertical="top" wrapText="1"/>
    </xf>
    <xf numFmtId="0" fontId="29" fillId="2" borderId="0" xfId="0" applyFont="1" applyFill="1" applyBorder="1" applyAlignment="1">
      <alignment horizontal="center" vertical="top" wrapText="1"/>
    </xf>
    <xf numFmtId="3" fontId="29" fillId="0" borderId="0" xfId="0" applyNumberFormat="1" applyFont="1" applyBorder="1"/>
    <xf numFmtId="14" fontId="0" fillId="4" borderId="0" xfId="0" applyNumberFormat="1" applyFont="1" applyFill="1" applyBorder="1"/>
    <xf numFmtId="0" fontId="0" fillId="4" borderId="0" xfId="0" applyFont="1" applyFill="1" applyBorder="1"/>
    <xf numFmtId="3" fontId="0" fillId="4" borderId="0" xfId="0" applyNumberFormat="1" applyFont="1" applyFill="1" applyBorder="1"/>
    <xf numFmtId="0" fontId="29" fillId="2" borderId="0" xfId="0" applyFont="1" applyFill="1" applyBorder="1"/>
    <xf numFmtId="3" fontId="29" fillId="2" borderId="0" xfId="0" applyNumberFormat="1" applyFont="1" applyFill="1" applyBorder="1"/>
    <xf numFmtId="0" fontId="29" fillId="20" borderId="0" xfId="0" applyFont="1" applyFill="1"/>
    <xf numFmtId="0" fontId="2" fillId="4" borderId="0" xfId="0" applyFont="1" applyFill="1" applyBorder="1"/>
    <xf numFmtId="3" fontId="29" fillId="4" borderId="0" xfId="0" applyNumberFormat="1" applyFont="1" applyFill="1" applyBorder="1"/>
    <xf numFmtId="0" fontId="29" fillId="11" borderId="0" xfId="0" applyFont="1" applyFill="1" applyBorder="1"/>
    <xf numFmtId="0" fontId="19" fillId="4" borderId="0" xfId="0" applyFont="1" applyFill="1" applyBorder="1"/>
    <xf numFmtId="0" fontId="19" fillId="11" borderId="0" xfId="0" applyFont="1" applyFill="1" applyBorder="1"/>
    <xf numFmtId="0" fontId="28" fillId="4" borderId="0" xfId="0" applyFont="1" applyFill="1" applyBorder="1"/>
    <xf numFmtId="165" fontId="28" fillId="4" borderId="0" xfId="0" applyNumberFormat="1" applyFont="1" applyFill="1" applyBorder="1"/>
    <xf numFmtId="0" fontId="29" fillId="3" borderId="0" xfId="0" applyFont="1" applyFill="1" applyBorder="1"/>
    <xf numFmtId="3" fontId="0" fillId="3" borderId="0" xfId="0" applyNumberFormat="1" applyFont="1" applyFill="1" applyBorder="1"/>
    <xf numFmtId="0" fontId="19" fillId="0" borderId="0" xfId="0" applyFont="1" applyBorder="1"/>
    <xf numFmtId="0" fontId="29" fillId="0" borderId="0" xfId="0" applyFont="1" applyFill="1"/>
    <xf numFmtId="171" fontId="2" fillId="8" borderId="0" xfId="0" applyNumberFormat="1" applyFont="1" applyFill="1"/>
    <xf numFmtId="171" fontId="2" fillId="2" borderId="0" xfId="0" applyNumberFormat="1" applyFont="1" applyFill="1"/>
    <xf numFmtId="3" fontId="0" fillId="9" borderId="0" xfId="0" applyNumberFormat="1" applyFill="1"/>
    <xf numFmtId="171" fontId="0" fillId="8" borderId="0" xfId="0" applyNumberFormat="1" applyFont="1" applyFill="1"/>
    <xf numFmtId="0" fontId="0" fillId="0" borderId="0" xfId="0" applyFill="1" applyBorder="1"/>
    <xf numFmtId="171" fontId="2" fillId="2" borderId="0" xfId="0" applyNumberFormat="1" applyFont="1" applyFill="1" applyBorder="1"/>
    <xf numFmtId="0" fontId="2" fillId="2" borderId="0" xfId="0" applyFont="1" applyFill="1" applyBorder="1"/>
    <xf numFmtId="167" fontId="0" fillId="0" borderId="0" xfId="2" applyNumberFormat="1" applyFont="1" applyFill="1" applyBorder="1"/>
    <xf numFmtId="167" fontId="0" fillId="4" borderId="0" xfId="2" applyNumberFormat="1" applyFont="1" applyFill="1" applyBorder="1"/>
    <xf numFmtId="167" fontId="0" fillId="9" borderId="0" xfId="2" applyNumberFormat="1" applyFont="1" applyFill="1" applyBorder="1"/>
    <xf numFmtId="171" fontId="2" fillId="7" borderId="0" xfId="0" applyNumberFormat="1" applyFont="1" applyFill="1" applyBorder="1"/>
    <xf numFmtId="0" fontId="2" fillId="7" borderId="0" xfId="0" applyFont="1" applyFill="1" applyBorder="1"/>
    <xf numFmtId="169" fontId="21" fillId="4" borderId="0" xfId="5" applyFont="1" applyFill="1" applyBorder="1">
      <alignment horizontal="left"/>
    </xf>
    <xf numFmtId="0" fontId="20" fillId="22" borderId="0" xfId="0" applyFont="1" applyFill="1"/>
    <xf numFmtId="10" fontId="5" fillId="3" borderId="0" xfId="0" applyNumberFormat="1" applyFont="1" applyFill="1"/>
    <xf numFmtId="167" fontId="5" fillId="3" borderId="0" xfId="0" applyNumberFormat="1" applyFont="1" applyFill="1"/>
    <xf numFmtId="9" fontId="5" fillId="3" borderId="0" xfId="0" applyNumberFormat="1" applyFont="1" applyFill="1"/>
    <xf numFmtId="0" fontId="5" fillId="3" borderId="0" xfId="0" applyFont="1" applyFill="1" applyAlignment="1">
      <alignment horizontal="center"/>
    </xf>
    <xf numFmtId="167" fontId="6" fillId="3" borderId="0" xfId="0" applyNumberFormat="1" applyFont="1" applyFill="1"/>
    <xf numFmtId="166" fontId="6" fillId="3" borderId="0" xfId="0" applyNumberFormat="1" applyFont="1" applyFill="1"/>
    <xf numFmtId="0" fontId="35" fillId="22" borderId="0" xfId="0" applyFont="1" applyFill="1" applyBorder="1"/>
    <xf numFmtId="0" fontId="36" fillId="0" borderId="0" xfId="0" applyFont="1" applyBorder="1"/>
    <xf numFmtId="166" fontId="37" fillId="0" borderId="0" xfId="2" applyNumberFormat="1" applyFont="1" applyFill="1" applyBorder="1"/>
    <xf numFmtId="0" fontId="36" fillId="0" borderId="0" xfId="0" applyFont="1" applyFill="1" applyBorder="1"/>
    <xf numFmtId="0" fontId="37" fillId="0" borderId="0" xfId="0" applyFont="1" applyFill="1" applyBorder="1"/>
    <xf numFmtId="0" fontId="38" fillId="0" borderId="0" xfId="0" applyFont="1" applyFill="1" applyBorder="1" applyAlignment="1">
      <alignment horizontal="center" vertical="top" wrapText="1"/>
    </xf>
    <xf numFmtId="0" fontId="38" fillId="0" borderId="0" xfId="0" applyFont="1" applyFill="1" applyBorder="1"/>
    <xf numFmtId="167" fontId="37" fillId="0" borderId="0" xfId="2" applyNumberFormat="1" applyFont="1" applyFill="1" applyBorder="1"/>
    <xf numFmtId="10" fontId="37" fillId="0" borderId="0" xfId="2" applyNumberFormat="1" applyFont="1" applyFill="1" applyBorder="1"/>
    <xf numFmtId="0" fontId="36" fillId="0" borderId="0" xfId="0" applyFont="1" applyFill="1" applyBorder="1" applyAlignment="1">
      <alignment horizontal="right"/>
    </xf>
    <xf numFmtId="10" fontId="40" fillId="0" borderId="0" xfId="2" applyNumberFormat="1" applyFont="1" applyFill="1" applyBorder="1"/>
    <xf numFmtId="0" fontId="43" fillId="0" borderId="0" xfId="0" applyFont="1" applyFill="1" applyBorder="1"/>
    <xf numFmtId="0" fontId="37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10" fontId="38" fillId="0" borderId="0" xfId="2" applyNumberFormat="1" applyFont="1" applyFill="1" applyBorder="1" applyAlignment="1">
      <alignment horizontal="center"/>
    </xf>
    <xf numFmtId="0" fontId="38" fillId="10" borderId="0" xfId="0" applyFont="1" applyFill="1" applyBorder="1"/>
    <xf numFmtId="0" fontId="37" fillId="11" borderId="0" xfId="0" applyFont="1" applyFill="1" applyBorder="1"/>
    <xf numFmtId="0" fontId="38" fillId="12" borderId="0" xfId="0" applyFont="1" applyFill="1" applyBorder="1" applyAlignment="1">
      <alignment horizontal="center" vertical="center" wrapText="1"/>
    </xf>
    <xf numFmtId="0" fontId="37" fillId="20" borderId="0" xfId="0" applyFont="1" applyFill="1" applyBorder="1"/>
    <xf numFmtId="0" fontId="38" fillId="20" borderId="0" xfId="0" applyFont="1" applyFill="1" applyBorder="1"/>
    <xf numFmtId="0" fontId="45" fillId="20" borderId="0" xfId="0" applyFont="1" applyFill="1" applyBorder="1"/>
    <xf numFmtId="0" fontId="45" fillId="0" borderId="0" xfId="0" applyFont="1" applyFill="1" applyBorder="1"/>
    <xf numFmtId="0" fontId="37" fillId="11" borderId="0" xfId="0" applyFont="1" applyFill="1" applyBorder="1" applyAlignment="1">
      <alignment horizontal="center"/>
    </xf>
    <xf numFmtId="0" fontId="38" fillId="10" borderId="0" xfId="0" applyFont="1" applyFill="1" applyBorder="1" applyAlignment="1">
      <alignment horizontal="center"/>
    </xf>
    <xf numFmtId="0" fontId="38" fillId="28" borderId="0" xfId="0" applyFont="1" applyFill="1" applyBorder="1" applyAlignment="1">
      <alignment horizontal="center" vertical="center" wrapText="1"/>
    </xf>
    <xf numFmtId="0" fontId="38" fillId="28" borderId="0" xfId="0" applyFont="1" applyFill="1" applyBorder="1" applyAlignment="1"/>
    <xf numFmtId="0" fontId="38" fillId="28" borderId="0" xfId="0" applyFont="1" applyFill="1" applyBorder="1"/>
    <xf numFmtId="0" fontId="38" fillId="28" borderId="0" xfId="0" applyFont="1" applyFill="1" applyBorder="1" applyAlignment="1">
      <alignment horizontal="right"/>
    </xf>
    <xf numFmtId="0" fontId="38" fillId="29" borderId="0" xfId="0" applyFont="1" applyFill="1" applyBorder="1" applyAlignment="1">
      <alignment horizontal="center" vertical="center" wrapText="1"/>
    </xf>
    <xf numFmtId="0" fontId="37" fillId="30" borderId="0" xfId="0" applyFont="1" applyFill="1" applyBorder="1"/>
    <xf numFmtId="0" fontId="37" fillId="30" borderId="0" xfId="0" applyFont="1" applyFill="1" applyBorder="1" applyAlignment="1">
      <alignment horizontal="right"/>
    </xf>
    <xf numFmtId="166" fontId="37" fillId="30" borderId="0" xfId="2" applyNumberFormat="1" applyFont="1" applyFill="1" applyBorder="1" applyAlignment="1">
      <alignment horizontal="center"/>
    </xf>
    <xf numFmtId="166" fontId="37" fillId="30" borderId="0" xfId="0" applyNumberFormat="1" applyFont="1" applyFill="1" applyBorder="1" applyAlignment="1">
      <alignment horizontal="center"/>
    </xf>
    <xf numFmtId="10" fontId="37" fillId="11" borderId="0" xfId="2" applyNumberFormat="1" applyFont="1" applyFill="1" applyBorder="1" applyAlignment="1">
      <alignment horizontal="center"/>
    </xf>
    <xf numFmtId="10" fontId="38" fillId="10" borderId="0" xfId="2" applyNumberFormat="1" applyFont="1" applyFill="1" applyBorder="1" applyAlignment="1">
      <alignment horizontal="center"/>
    </xf>
    <xf numFmtId="10" fontId="37" fillId="30" borderId="0" xfId="2" applyNumberFormat="1" applyFont="1" applyFill="1" applyBorder="1" applyAlignment="1">
      <alignment horizontal="center"/>
    </xf>
    <xf numFmtId="0" fontId="37" fillId="2" borderId="0" xfId="0" applyFont="1" applyFill="1" applyBorder="1"/>
    <xf numFmtId="10" fontId="37" fillId="2" borderId="0" xfId="0" applyNumberFormat="1" applyFont="1" applyFill="1" applyBorder="1"/>
    <xf numFmtId="0" fontId="44" fillId="4" borderId="0" xfId="0" applyFont="1" applyFill="1" applyBorder="1"/>
    <xf numFmtId="10" fontId="44" fillId="4" borderId="0" xfId="0" applyNumberFormat="1" applyFont="1" applyFill="1" applyBorder="1"/>
    <xf numFmtId="0" fontId="37" fillId="4" borderId="0" xfId="0" applyFont="1" applyFill="1" applyBorder="1"/>
    <xf numFmtId="0" fontId="44" fillId="3" borderId="0" xfId="0" applyFont="1" applyFill="1" applyBorder="1"/>
    <xf numFmtId="10" fontId="44" fillId="3" borderId="0" xfId="0" applyNumberFormat="1" applyFont="1" applyFill="1" applyBorder="1"/>
    <xf numFmtId="0" fontId="37" fillId="3" borderId="0" xfId="0" applyFont="1" applyFill="1" applyBorder="1"/>
    <xf numFmtId="10" fontId="37" fillId="3" borderId="0" xfId="0" applyNumberFormat="1" applyFont="1" applyFill="1" applyBorder="1"/>
    <xf numFmtId="0" fontId="38" fillId="2" borderId="0" xfId="0" applyFont="1" applyFill="1" applyBorder="1"/>
    <xf numFmtId="10" fontId="38" fillId="2" borderId="0" xfId="0" applyNumberFormat="1" applyFont="1" applyFill="1" applyBorder="1"/>
    <xf numFmtId="0" fontId="46" fillId="0" borderId="0" xfId="0" applyFont="1"/>
    <xf numFmtId="14" fontId="0" fillId="0" borderId="0" xfId="0" applyNumberFormat="1"/>
    <xf numFmtId="3" fontId="21" fillId="0" borderId="0" xfId="0" applyNumberFormat="1" applyFont="1"/>
    <xf numFmtId="0" fontId="0" fillId="3" borderId="0" xfId="0" applyFill="1" applyBorder="1"/>
    <xf numFmtId="0" fontId="22" fillId="2" borderId="0" xfId="0" applyFont="1" applyFill="1" applyBorder="1"/>
    <xf numFmtId="3" fontId="22" fillId="2" borderId="0" xfId="0" applyNumberFormat="1" applyFont="1" applyFill="1" applyBorder="1"/>
    <xf numFmtId="3" fontId="0" fillId="4" borderId="0" xfId="0" applyNumberFormat="1" applyFill="1" applyBorder="1"/>
    <xf numFmtId="0" fontId="22" fillId="3" borderId="0" xfId="0" applyFont="1" applyFill="1"/>
    <xf numFmtId="0" fontId="0" fillId="4" borderId="0" xfId="0" applyFill="1" applyBorder="1"/>
    <xf numFmtId="167" fontId="0" fillId="4" borderId="0" xfId="0" applyNumberFormat="1" applyFill="1" applyBorder="1"/>
    <xf numFmtId="0" fontId="22" fillId="3" borderId="0" xfId="0" applyFont="1" applyFill="1" applyBorder="1"/>
    <xf numFmtId="0" fontId="35" fillId="0" borderId="0" xfId="0" applyFont="1" applyFill="1" applyBorder="1"/>
    <xf numFmtId="0" fontId="22" fillId="7" borderId="0" xfId="0" applyFont="1" applyFill="1" applyBorder="1"/>
    <xf numFmtId="0" fontId="22" fillId="7" borderId="0" xfId="0" applyFont="1" applyFill="1" applyBorder="1" applyAlignment="1">
      <alignment horizontal="center"/>
    </xf>
    <xf numFmtId="0" fontId="22" fillId="9" borderId="0" xfId="0" applyFont="1" applyFill="1" applyBorder="1"/>
    <xf numFmtId="0" fontId="22" fillId="8" borderId="0" xfId="0" applyFont="1" applyFill="1" applyBorder="1"/>
    <xf numFmtId="3" fontId="22" fillId="8" borderId="0" xfId="0" applyNumberFormat="1" applyFont="1" applyFill="1" applyBorder="1"/>
    <xf numFmtId="167" fontId="22" fillId="8" borderId="0" xfId="2" applyNumberFormat="1" applyFont="1" applyFill="1" applyBorder="1"/>
    <xf numFmtId="0" fontId="0" fillId="9" borderId="0" xfId="0" applyFill="1" applyBorder="1"/>
    <xf numFmtId="3" fontId="0" fillId="9" borderId="0" xfId="0" applyNumberFormat="1" applyFill="1" applyBorder="1"/>
    <xf numFmtId="3" fontId="22" fillId="7" borderId="0" xfId="0" applyNumberFormat="1" applyFont="1" applyFill="1" applyBorder="1"/>
    <xf numFmtId="167" fontId="22" fillId="7" borderId="0" xfId="2" applyNumberFormat="1" applyFont="1" applyFill="1" applyBorder="1"/>
    <xf numFmtId="0" fontId="0" fillId="10" borderId="0" xfId="0" applyFill="1" applyBorder="1"/>
    <xf numFmtId="3" fontId="21" fillId="11" borderId="0" xfId="0" applyNumberFormat="1" applyFont="1" applyFill="1" applyBorder="1"/>
    <xf numFmtId="0" fontId="0" fillId="11" borderId="0" xfId="0" applyFill="1" applyBorder="1"/>
    <xf numFmtId="3" fontId="0" fillId="11" borderId="0" xfId="0" applyNumberFormat="1" applyFill="1" applyBorder="1"/>
    <xf numFmtId="0" fontId="22" fillId="31" borderId="0" xfId="0" applyFont="1" applyFill="1" applyBorder="1" applyAlignment="1">
      <alignment vertical="top"/>
    </xf>
    <xf numFmtId="3" fontId="22" fillId="31" borderId="0" xfId="0" applyNumberFormat="1" applyFont="1" applyFill="1" applyBorder="1" applyAlignment="1">
      <alignment horizontal="center" vertical="top"/>
    </xf>
    <xf numFmtId="0" fontId="22" fillId="31" borderId="0" xfId="0" applyFont="1" applyFill="1" applyBorder="1" applyAlignment="1">
      <alignment horizontal="center" wrapText="1"/>
    </xf>
    <xf numFmtId="0" fontId="21" fillId="32" borderId="0" xfId="0" applyFont="1" applyFill="1" applyBorder="1"/>
    <xf numFmtId="10" fontId="21" fillId="32" borderId="0" xfId="0" applyNumberFormat="1" applyFont="1" applyFill="1" applyBorder="1"/>
    <xf numFmtId="3" fontId="0" fillId="32" borderId="0" xfId="0" applyNumberFormat="1" applyFill="1" applyBorder="1"/>
    <xf numFmtId="0" fontId="22" fillId="31" borderId="0" xfId="0" applyFont="1" applyFill="1" applyBorder="1"/>
    <xf numFmtId="10" fontId="22" fillId="31" borderId="0" xfId="0" applyNumberFormat="1" applyFont="1" applyFill="1" applyBorder="1"/>
    <xf numFmtId="3" fontId="22" fillId="31" borderId="0" xfId="0" applyNumberFormat="1" applyFont="1" applyFill="1" applyBorder="1"/>
    <xf numFmtId="10" fontId="22" fillId="31" borderId="0" xfId="2" applyNumberFormat="1" applyFont="1" applyFill="1" applyBorder="1"/>
    <xf numFmtId="10" fontId="22" fillId="4" borderId="0" xfId="2" applyNumberFormat="1" applyFont="1" applyFill="1" applyBorder="1"/>
    <xf numFmtId="0" fontId="0" fillId="7" borderId="0" xfId="0" applyFill="1" applyBorder="1"/>
    <xf numFmtId="167" fontId="0" fillId="9" borderId="0" xfId="0" applyNumberFormat="1" applyFill="1" applyBorder="1"/>
    <xf numFmtId="167" fontId="22" fillId="9" borderId="0" xfId="0" applyNumberFormat="1" applyFont="1" applyFill="1" applyBorder="1"/>
    <xf numFmtId="0" fontId="20" fillId="0" borderId="0" xfId="0" applyFont="1"/>
    <xf numFmtId="0" fontId="19" fillId="0" borderId="0" xfId="0" applyFont="1" applyFill="1"/>
    <xf numFmtId="0" fontId="38" fillId="28" borderId="0" xfId="0" applyFont="1" applyFill="1" applyBorder="1" applyAlignment="1">
      <alignment horizontal="center" vertical="center"/>
    </xf>
    <xf numFmtId="0" fontId="47" fillId="0" borderId="0" xfId="0" applyFont="1"/>
    <xf numFmtId="1" fontId="29" fillId="7" borderId="0" xfId="0" applyNumberFormat="1" applyFont="1" applyFill="1" applyBorder="1" applyAlignment="1">
      <alignment horizontal="center" vertical="center"/>
    </xf>
    <xf numFmtId="0" fontId="29" fillId="7" borderId="0" xfId="0" applyFont="1" applyFill="1" applyBorder="1" applyAlignment="1">
      <alignment horizontal="center" vertical="center"/>
    </xf>
    <xf numFmtId="1" fontId="29" fillId="2" borderId="0" xfId="3" applyFont="1" applyFill="1" applyBorder="1" applyAlignment="1">
      <alignment horizontal="center" vertical="center"/>
    </xf>
    <xf numFmtId="0" fontId="22" fillId="22" borderId="0" xfId="0" applyFont="1" applyFill="1"/>
    <xf numFmtId="0" fontId="2" fillId="3" borderId="0" xfId="0" applyFont="1" applyFill="1" applyBorder="1"/>
    <xf numFmtId="2" fontId="0" fillId="4" borderId="0" xfId="0" applyNumberFormat="1" applyFill="1"/>
    <xf numFmtId="3" fontId="2" fillId="4" borderId="0" xfId="0" applyNumberFormat="1" applyFont="1" applyFill="1" applyBorder="1"/>
    <xf numFmtId="0" fontId="22" fillId="0" borderId="0" xfId="0" applyFont="1" applyFill="1"/>
    <xf numFmtId="167" fontId="0" fillId="15" borderId="0" xfId="2" applyNumberFormat="1" applyFont="1" applyFill="1" applyBorder="1"/>
    <xf numFmtId="0" fontId="0" fillId="15" borderId="0" xfId="0" applyFill="1" applyBorder="1" applyAlignment="1">
      <alignment horizontal="center"/>
    </xf>
    <xf numFmtId="167" fontId="0" fillId="15" borderId="0" xfId="2" applyNumberFormat="1" applyFont="1" applyFill="1" applyBorder="1" applyAlignment="1">
      <alignment horizontal="center"/>
    </xf>
    <xf numFmtId="0" fontId="0" fillId="0" borderId="20" xfId="0" applyBorder="1"/>
    <xf numFmtId="0" fontId="48" fillId="0" borderId="20" xfId="0" applyFont="1" applyBorder="1"/>
    <xf numFmtId="1" fontId="29" fillId="0" borderId="0" xfId="3" applyFont="1" applyFill="1" applyBorder="1" applyAlignment="1">
      <alignment horizontal="center" vertical="center"/>
    </xf>
    <xf numFmtId="3" fontId="2" fillId="9" borderId="0" xfId="0" applyNumberFormat="1" applyFont="1" applyFill="1" applyBorder="1"/>
    <xf numFmtId="3" fontId="2" fillId="9" borderId="0" xfId="0" applyNumberFormat="1" applyFont="1" applyFill="1"/>
    <xf numFmtId="167" fontId="0" fillId="0" borderId="0" xfId="2" applyNumberFormat="1" applyFont="1"/>
    <xf numFmtId="175" fontId="0" fillId="9" borderId="0" xfId="0" applyNumberFormat="1" applyFill="1" applyBorder="1"/>
    <xf numFmtId="167" fontId="0" fillId="3" borderId="0" xfId="2" applyNumberFormat="1" applyFont="1" applyFill="1" applyAlignment="1">
      <alignment horizontal="center"/>
    </xf>
    <xf numFmtId="0" fontId="2" fillId="8" borderId="0" xfId="0" applyFont="1" applyFill="1"/>
    <xf numFmtId="0" fontId="2" fillId="7" borderId="0" xfId="0" applyFont="1" applyFill="1" applyAlignment="1">
      <alignment horizontal="center" vertical="center"/>
    </xf>
    <xf numFmtId="3" fontId="2" fillId="8" borderId="0" xfId="0" applyNumberFormat="1" applyFont="1" applyFill="1"/>
    <xf numFmtId="0" fontId="21" fillId="0" borderId="0" xfId="0" applyFont="1"/>
    <xf numFmtId="167" fontId="0" fillId="4" borderId="0" xfId="0" applyNumberFormat="1" applyFill="1"/>
    <xf numFmtId="3" fontId="0" fillId="4" borderId="0" xfId="0" applyNumberFormat="1" applyFill="1" applyBorder="1" applyAlignment="1">
      <alignment horizontal="right"/>
    </xf>
    <xf numFmtId="3" fontId="2" fillId="4" borderId="0" xfId="0" applyNumberFormat="1" applyFont="1" applyFill="1" applyBorder="1" applyAlignment="1">
      <alignment horizontal="right"/>
    </xf>
    <xf numFmtId="0" fontId="49" fillId="0" borderId="0" xfId="0" applyFont="1"/>
    <xf numFmtId="0" fontId="34" fillId="0" borderId="0" xfId="0" applyFont="1"/>
    <xf numFmtId="9" fontId="34" fillId="0" borderId="0" xfId="0" applyNumberFormat="1" applyFont="1"/>
    <xf numFmtId="9" fontId="0" fillId="4" borderId="0" xfId="2" applyFont="1" applyFill="1" applyBorder="1"/>
    <xf numFmtId="176" fontId="0" fillId="4" borderId="0" xfId="0" applyNumberFormat="1" applyFont="1" applyFill="1" applyBorder="1"/>
    <xf numFmtId="177" fontId="0" fillId="4" borderId="0" xfId="0" applyNumberFormat="1" applyFont="1" applyFill="1" applyBorder="1"/>
    <xf numFmtId="3" fontId="2" fillId="2" borderId="0" xfId="0" applyNumberFormat="1" applyFont="1" applyFill="1" applyBorder="1"/>
    <xf numFmtId="2" fontId="50" fillId="4" borderId="0" xfId="0" applyNumberFormat="1" applyFont="1" applyFill="1" applyBorder="1"/>
    <xf numFmtId="0" fontId="22" fillId="0" borderId="0" xfId="0" applyFont="1" applyFill="1" applyBorder="1" applyAlignment="1">
      <alignment horizontal="right"/>
    </xf>
    <xf numFmtId="167" fontId="0" fillId="3" borderId="0" xfId="2" applyNumberFormat="1" applyFont="1" applyFill="1"/>
    <xf numFmtId="167" fontId="0" fillId="3" borderId="0" xfId="0" applyNumberFormat="1" applyFill="1"/>
    <xf numFmtId="3" fontId="0" fillId="4" borderId="0" xfId="0" applyNumberFormat="1" applyFill="1"/>
    <xf numFmtId="0" fontId="2" fillId="4" borderId="0" xfId="0" applyFont="1" applyFill="1"/>
    <xf numFmtId="3" fontId="2" fillId="7" borderId="0" xfId="0" applyNumberFormat="1" applyFont="1" applyFill="1"/>
    <xf numFmtId="3" fontId="22" fillId="4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20" fillId="0" borderId="0" xfId="0" applyFont="1" applyFill="1"/>
    <xf numFmtId="0" fontId="2" fillId="0" borderId="0" xfId="0" applyFont="1" applyFill="1"/>
    <xf numFmtId="0" fontId="51" fillId="0" borderId="0" xfId="9" applyFont="1" applyAlignment="1">
      <alignment vertical="center"/>
    </xf>
    <xf numFmtId="0" fontId="50" fillId="0" borderId="0" xfId="9"/>
    <xf numFmtId="0" fontId="50" fillId="0" borderId="0" xfId="9" applyAlignment="1">
      <alignment vertical="center"/>
    </xf>
    <xf numFmtId="0" fontId="50" fillId="0" borderId="0" xfId="9" applyAlignment="1">
      <alignment vertical="top" wrapText="1"/>
    </xf>
    <xf numFmtId="3" fontId="50" fillId="0" borderId="0" xfId="9" applyNumberFormat="1"/>
    <xf numFmtId="3" fontId="48" fillId="0" borderId="0" xfId="9" applyNumberFormat="1" applyFont="1" applyAlignment="1">
      <alignment horizontal="center"/>
    </xf>
    <xf numFmtId="167" fontId="50" fillId="0" borderId="0" xfId="9" applyNumberFormat="1"/>
    <xf numFmtId="0" fontId="22" fillId="0" borderId="0" xfId="9" applyFont="1" applyAlignment="1">
      <alignment horizontal="center"/>
    </xf>
    <xf numFmtId="167" fontId="34" fillId="0" borderId="0" xfId="11" applyNumberFormat="1" applyFont="1" applyBorder="1"/>
    <xf numFmtId="166" fontId="55" fillId="0" borderId="0" xfId="9" applyNumberFormat="1" applyFont="1"/>
    <xf numFmtId="10" fontId="50" fillId="0" borderId="0" xfId="9" applyNumberFormat="1" applyAlignment="1">
      <alignment horizontal="center"/>
    </xf>
    <xf numFmtId="167" fontId="54" fillId="0" borderId="0" xfId="11" applyNumberFormat="1" applyFont="1" applyBorder="1"/>
    <xf numFmtId="10" fontId="34" fillId="0" borderId="0" xfId="11" applyNumberFormat="1" applyFont="1" applyFill="1" applyBorder="1"/>
    <xf numFmtId="10" fontId="0" fillId="0" borderId="0" xfId="11" applyNumberFormat="1" applyFont="1"/>
    <xf numFmtId="10" fontId="22" fillId="0" borderId="0" xfId="11" applyNumberFormat="1" applyFont="1"/>
    <xf numFmtId="178" fontId="50" fillId="0" borderId="0" xfId="9" applyNumberFormat="1"/>
    <xf numFmtId="177" fontId="50" fillId="0" borderId="0" xfId="9" applyNumberFormat="1"/>
    <xf numFmtId="0" fontId="52" fillId="0" borderId="0" xfId="10" applyAlignment="1" applyProtection="1">
      <alignment horizontal="right" vertical="top"/>
    </xf>
    <xf numFmtId="3" fontId="50" fillId="0" borderId="0" xfId="9" applyNumberFormat="1" applyBorder="1"/>
    <xf numFmtId="0" fontId="22" fillId="30" borderId="0" xfId="9" applyFont="1" applyFill="1" applyBorder="1" applyAlignment="1">
      <alignment horizontal="center"/>
    </xf>
    <xf numFmtId="176" fontId="50" fillId="30" borderId="0" xfId="9" applyNumberFormat="1" applyFill="1" applyBorder="1"/>
    <xf numFmtId="3" fontId="50" fillId="30" borderId="0" xfId="9" applyNumberFormat="1" applyFill="1" applyBorder="1"/>
    <xf numFmtId="178" fontId="50" fillId="30" borderId="0" xfId="9" applyNumberFormat="1" applyFill="1" applyBorder="1"/>
    <xf numFmtId="10" fontId="44" fillId="30" borderId="0" xfId="11" applyNumberFormat="1" applyFont="1" applyFill="1" applyBorder="1"/>
    <xf numFmtId="0" fontId="50" fillId="0" borderId="0" xfId="9" applyFill="1"/>
    <xf numFmtId="0" fontId="38" fillId="0" borderId="0" xfId="0" applyFont="1" applyFill="1" applyBorder="1" applyAlignment="1">
      <alignment horizontal="center" vertical="center" wrapText="1"/>
    </xf>
    <xf numFmtId="10" fontId="44" fillId="0" borderId="0" xfId="11" applyNumberFormat="1" applyFont="1" applyFill="1" applyBorder="1"/>
    <xf numFmtId="167" fontId="44" fillId="0" borderId="0" xfId="11" applyNumberFormat="1" applyFont="1" applyFill="1" applyBorder="1"/>
    <xf numFmtId="3" fontId="50" fillId="0" borderId="0" xfId="9" applyNumberFormat="1" applyFill="1" applyBorder="1"/>
    <xf numFmtId="10" fontId="22" fillId="0" borderId="0" xfId="11" applyNumberFormat="1" applyFont="1" applyFill="1"/>
    <xf numFmtId="10" fontId="53" fillId="0" borderId="0" xfId="11" applyNumberFormat="1" applyFont="1" applyFill="1" applyBorder="1"/>
    <xf numFmtId="166" fontId="55" fillId="0" borderId="0" xfId="9" applyNumberFormat="1" applyFont="1" applyFill="1" applyBorder="1"/>
    <xf numFmtId="10" fontId="0" fillId="0" borderId="0" xfId="11" applyNumberFormat="1" applyFont="1" applyFill="1"/>
    <xf numFmtId="0" fontId="55" fillId="0" borderId="0" xfId="9" applyFont="1" applyBorder="1"/>
    <xf numFmtId="3" fontId="37" fillId="0" borderId="0" xfId="9" applyNumberFormat="1" applyFont="1" applyFill="1" applyBorder="1"/>
    <xf numFmtId="3" fontId="21" fillId="30" borderId="0" xfId="9" applyNumberFormat="1" applyFont="1" applyFill="1" applyBorder="1" applyAlignment="1">
      <alignment horizontal="center"/>
    </xf>
    <xf numFmtId="176" fontId="22" fillId="30" borderId="0" xfId="9" applyNumberFormat="1" applyFont="1" applyFill="1" applyBorder="1" applyAlignment="1">
      <alignment horizontal="center"/>
    </xf>
    <xf numFmtId="3" fontId="37" fillId="30" borderId="0" xfId="9" applyNumberFormat="1" applyFont="1" applyFill="1" applyBorder="1"/>
    <xf numFmtId="3" fontId="22" fillId="30" borderId="0" xfId="9" applyNumberFormat="1" applyFont="1" applyFill="1" applyBorder="1" applyAlignment="1">
      <alignment horizontal="center"/>
    </xf>
    <xf numFmtId="167" fontId="44" fillId="30" borderId="0" xfId="11" applyNumberFormat="1" applyFont="1" applyFill="1" applyBorder="1"/>
    <xf numFmtId="176" fontId="21" fillId="30" borderId="0" xfId="9" applyNumberFormat="1" applyFont="1" applyFill="1" applyBorder="1" applyAlignment="1">
      <alignment horizontal="center"/>
    </xf>
    <xf numFmtId="176" fontId="50" fillId="30" borderId="0" xfId="9" applyNumberFormat="1" applyFill="1" applyBorder="1" applyAlignment="1">
      <alignment horizontal="center"/>
    </xf>
    <xf numFmtId="10" fontId="50" fillId="30" borderId="0" xfId="9" applyNumberFormat="1" applyFill="1" applyBorder="1" applyAlignment="1">
      <alignment horizontal="center"/>
    </xf>
    <xf numFmtId="0" fontId="50" fillId="30" borderId="0" xfId="9" applyFill="1" applyBorder="1"/>
    <xf numFmtId="0" fontId="0" fillId="30" borderId="0" xfId="0" applyFill="1" applyBorder="1" applyAlignment="1">
      <alignment horizontal="center"/>
    </xf>
    <xf numFmtId="176" fontId="0" fillId="30" borderId="0" xfId="0" applyNumberFormat="1" applyFill="1" applyBorder="1" applyAlignment="1">
      <alignment horizontal="center"/>
    </xf>
    <xf numFmtId="0" fontId="38" fillId="28" borderId="0" xfId="0" applyFont="1" applyFill="1" applyBorder="1" applyAlignment="1">
      <alignment horizontal="left" vertical="center"/>
    </xf>
    <xf numFmtId="0" fontId="22" fillId="30" borderId="0" xfId="9" applyFont="1" applyFill="1" applyBorder="1" applyAlignment="1">
      <alignment horizontal="left"/>
    </xf>
    <xf numFmtId="0" fontId="22" fillId="30" borderId="0" xfId="9" applyFont="1" applyFill="1" applyBorder="1" applyAlignment="1">
      <alignment horizontal="right"/>
    </xf>
    <xf numFmtId="0" fontId="50" fillId="30" borderId="0" xfId="9" applyFont="1" applyFill="1" applyBorder="1" applyAlignment="1">
      <alignment horizontal="right"/>
    </xf>
    <xf numFmtId="0" fontId="50" fillId="30" borderId="0" xfId="9" applyFont="1" applyFill="1" applyBorder="1" applyAlignment="1">
      <alignment horizontal="left"/>
    </xf>
    <xf numFmtId="0" fontId="50" fillId="0" borderId="0" xfId="0" quotePrefix="1" applyFont="1"/>
    <xf numFmtId="0" fontId="22" fillId="30" borderId="0" xfId="0" applyFont="1" applyFill="1" applyBorder="1"/>
    <xf numFmtId="0" fontId="50" fillId="0" borderId="0" xfId="9" applyFill="1" applyBorder="1"/>
    <xf numFmtId="0" fontId="38" fillId="28" borderId="0" xfId="0" applyFont="1" applyFill="1" applyBorder="1" applyAlignment="1">
      <alignment horizontal="left" vertical="center" wrapText="1"/>
    </xf>
    <xf numFmtId="2" fontId="22" fillId="30" borderId="0" xfId="0" applyNumberFormat="1" applyFont="1" applyFill="1" applyBorder="1"/>
    <xf numFmtId="4" fontId="0" fillId="30" borderId="0" xfId="0" applyNumberFormat="1" applyFill="1" applyBorder="1" applyAlignment="1">
      <alignment horizontal="right"/>
    </xf>
    <xf numFmtId="2" fontId="0" fillId="30" borderId="0" xfId="0" applyNumberFormat="1" applyFill="1" applyBorder="1"/>
    <xf numFmtId="3" fontId="50" fillId="30" borderId="0" xfId="9" applyNumberFormat="1" applyFont="1" applyFill="1" applyBorder="1" applyAlignment="1">
      <alignment horizontal="center"/>
    </xf>
    <xf numFmtId="10" fontId="50" fillId="30" borderId="0" xfId="9" applyNumberFormat="1" applyFont="1" applyFill="1" applyBorder="1" applyAlignment="1">
      <alignment horizontal="center"/>
    </xf>
    <xf numFmtId="3" fontId="32" fillId="30" borderId="0" xfId="9" applyNumberFormat="1" applyFont="1" applyFill="1" applyBorder="1" applyAlignment="1">
      <alignment horizontal="center"/>
    </xf>
    <xf numFmtId="0" fontId="55" fillId="0" borderId="0" xfId="9" applyFont="1" applyFill="1" applyBorder="1"/>
    <xf numFmtId="166" fontId="55" fillId="30" borderId="0" xfId="9" applyNumberFormat="1" applyFont="1" applyFill="1" applyBorder="1"/>
    <xf numFmtId="0" fontId="55" fillId="28" borderId="0" xfId="9" applyFont="1" applyFill="1" applyBorder="1"/>
    <xf numFmtId="176" fontId="22" fillId="0" borderId="0" xfId="9" applyNumberFormat="1" applyFont="1" applyFill="1" applyBorder="1" applyAlignment="1">
      <alignment horizontal="center"/>
    </xf>
    <xf numFmtId="3" fontId="32" fillId="0" borderId="0" xfId="9" applyNumberFormat="1" applyFont="1" applyFill="1" applyBorder="1" applyAlignment="1">
      <alignment horizontal="center"/>
    </xf>
    <xf numFmtId="10" fontId="58" fillId="0" borderId="0" xfId="11" applyNumberFormat="1" applyFont="1" applyFill="1" applyBorder="1"/>
    <xf numFmtId="10" fontId="50" fillId="0" borderId="0" xfId="9" applyNumberFormat="1" applyFont="1" applyFill="1" applyBorder="1" applyAlignment="1">
      <alignment horizontal="center"/>
    </xf>
    <xf numFmtId="10" fontId="59" fillId="0" borderId="0" xfId="11" applyNumberFormat="1" applyFont="1" applyFill="1" applyBorder="1"/>
    <xf numFmtId="176" fontId="32" fillId="30" borderId="0" xfId="9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6" fillId="0" borderId="0" xfId="0" applyFont="1" applyBorder="1" applyAlignment="1">
      <alignment horizontal="center"/>
    </xf>
    <xf numFmtId="11" fontId="22" fillId="30" borderId="0" xfId="0" applyNumberFormat="1" applyFont="1" applyFill="1" applyBorder="1"/>
    <xf numFmtId="166" fontId="0" fillId="30" borderId="0" xfId="0" applyNumberFormat="1" applyFill="1" applyBorder="1" applyAlignment="1">
      <alignment horizontal="right"/>
    </xf>
    <xf numFmtId="165" fontId="0" fillId="30" borderId="0" xfId="0" applyNumberFormat="1" applyFill="1" applyBorder="1" applyAlignment="1">
      <alignment horizontal="right"/>
    </xf>
    <xf numFmtId="10" fontId="60" fillId="30" borderId="0" xfId="11" applyNumberFormat="1" applyFont="1" applyFill="1" applyBorder="1"/>
    <xf numFmtId="10" fontId="50" fillId="30" borderId="0" xfId="11" applyNumberFormat="1" applyFont="1" applyFill="1" applyBorder="1"/>
    <xf numFmtId="166" fontId="55" fillId="0" borderId="0" xfId="9" applyNumberFormat="1" applyFont="1" applyFill="1" applyBorder="1" applyAlignment="1">
      <alignment horizontal="center"/>
    </xf>
    <xf numFmtId="0" fontId="50" fillId="0" borderId="0" xfId="9" applyFont="1" applyAlignment="1">
      <alignment vertical="center"/>
    </xf>
    <xf numFmtId="0" fontId="50" fillId="30" borderId="0" xfId="9" applyFont="1" applyFill="1" applyBorder="1"/>
    <xf numFmtId="10" fontId="50" fillId="30" borderId="0" xfId="11" applyNumberFormat="1" applyFont="1" applyFill="1" applyBorder="1" applyAlignment="1">
      <alignment vertical="center"/>
    </xf>
    <xf numFmtId="178" fontId="50" fillId="30" borderId="0" xfId="9" applyNumberFormat="1" applyFont="1" applyFill="1" applyBorder="1" applyAlignment="1">
      <alignment vertical="center"/>
    </xf>
    <xf numFmtId="0" fontId="61" fillId="28" borderId="0" xfId="9" applyFont="1" applyFill="1" applyBorder="1" applyAlignment="1">
      <alignment wrapText="1"/>
    </xf>
    <xf numFmtId="10" fontId="32" fillId="30" borderId="0" xfId="11" applyNumberFormat="1" applyFont="1" applyFill="1" applyBorder="1" applyAlignment="1">
      <alignment vertical="center"/>
    </xf>
    <xf numFmtId="167" fontId="50" fillId="30" borderId="0" xfId="9" applyNumberFormat="1" applyFont="1" applyFill="1" applyBorder="1"/>
    <xf numFmtId="167" fontId="32" fillId="30" borderId="0" xfId="11" applyNumberFormat="1" applyFont="1" applyFill="1" applyBorder="1" applyAlignment="1">
      <alignment vertical="center"/>
    </xf>
    <xf numFmtId="10" fontId="32" fillId="0" borderId="0" xfId="11" applyNumberFormat="1" applyFont="1" applyFill="1" applyBorder="1" applyAlignment="1">
      <alignment vertical="center"/>
    </xf>
    <xf numFmtId="167" fontId="50" fillId="0" borderId="0" xfId="11" applyNumberFormat="1" applyFont="1" applyBorder="1" applyAlignment="1">
      <alignment horizontal="center" vertical="center"/>
    </xf>
    <xf numFmtId="167" fontId="32" fillId="0" borderId="0" xfId="11" applyNumberFormat="1" applyFont="1" applyFill="1" applyBorder="1" applyAlignment="1">
      <alignment vertical="center"/>
    </xf>
    <xf numFmtId="167" fontId="50" fillId="30" borderId="0" xfId="11" applyNumberFormat="1" applyFont="1" applyFill="1" applyBorder="1" applyAlignment="1">
      <alignment vertical="center"/>
    </xf>
    <xf numFmtId="167" fontId="50" fillId="30" borderId="0" xfId="11" applyNumberFormat="1" applyFont="1" applyFill="1" applyBorder="1" applyAlignment="1">
      <alignment horizontal="center" vertical="center"/>
    </xf>
    <xf numFmtId="167" fontId="32" fillId="0" borderId="0" xfId="11" applyNumberFormat="1" applyFont="1" applyBorder="1" applyAlignment="1">
      <alignment horizontal="center" vertical="center"/>
    </xf>
    <xf numFmtId="167" fontId="32" fillId="30" borderId="0" xfId="11" applyNumberFormat="1" applyFont="1" applyFill="1" applyBorder="1" applyAlignment="1"/>
    <xf numFmtId="0" fontId="50" fillId="30" borderId="0" xfId="9" applyFill="1"/>
    <xf numFmtId="10" fontId="22" fillId="30" borderId="0" xfId="11" applyNumberFormat="1" applyFont="1" applyFill="1"/>
    <xf numFmtId="0" fontId="21" fillId="30" borderId="0" xfId="9" applyFont="1" applyFill="1"/>
    <xf numFmtId="0" fontId="22" fillId="28" borderId="0" xfId="9" applyFont="1" applyFill="1"/>
    <xf numFmtId="0" fontId="50" fillId="28" borderId="0" xfId="9" applyFill="1"/>
    <xf numFmtId="2" fontId="0" fillId="0" borderId="0" xfId="0" applyNumberFormat="1"/>
    <xf numFmtId="0" fontId="34" fillId="0" borderId="0" xfId="0" applyFont="1" applyAlignment="1">
      <alignment vertical="top"/>
    </xf>
    <xf numFmtId="3" fontId="2" fillId="4" borderId="0" xfId="0" applyNumberFormat="1" applyFont="1" applyFill="1"/>
    <xf numFmtId="178" fontId="0" fillId="4" borderId="0" xfId="0" applyNumberFormat="1" applyFill="1"/>
    <xf numFmtId="167" fontId="0" fillId="4" borderId="0" xfId="2" applyNumberFormat="1" applyFont="1" applyFill="1"/>
    <xf numFmtId="3" fontId="2" fillId="2" borderId="0" xfId="0" applyNumberFormat="1" applyFont="1" applyFill="1"/>
    <xf numFmtId="167" fontId="2" fillId="4" borderId="0" xfId="2" applyNumberFormat="1" applyFont="1" applyFill="1"/>
    <xf numFmtId="0" fontId="0" fillId="18" borderId="0" xfId="0" applyFill="1" applyBorder="1"/>
    <xf numFmtId="3" fontId="0" fillId="19" borderId="0" xfId="0" applyNumberFormat="1" applyFill="1"/>
    <xf numFmtId="0" fontId="21" fillId="33" borderId="0" xfId="0" applyFont="1" applyFill="1" applyBorder="1"/>
    <xf numFmtId="0" fontId="0" fillId="33" borderId="0" xfId="0" applyFill="1" applyBorder="1"/>
    <xf numFmtId="3" fontId="0" fillId="33" borderId="0" xfId="0" applyNumberFormat="1" applyFill="1" applyBorder="1"/>
    <xf numFmtId="0" fontId="22" fillId="33" borderId="0" xfId="0" applyFont="1" applyFill="1" applyBorder="1" applyAlignment="1">
      <alignment horizontal="left" vertical="top" wrapText="1"/>
    </xf>
    <xf numFmtId="0" fontId="22" fillId="33" borderId="0" xfId="0" applyFont="1" applyFill="1" applyBorder="1" applyAlignment="1">
      <alignment horizontal="center" vertical="top" wrapText="1"/>
    </xf>
    <xf numFmtId="0" fontId="22" fillId="18" borderId="0" xfId="0" applyFont="1" applyFill="1" applyBorder="1"/>
    <xf numFmtId="0" fontId="0" fillId="19" borderId="0" xfId="0" applyFill="1" applyBorder="1"/>
    <xf numFmtId="0" fontId="21" fillId="19" borderId="0" xfId="0" applyFont="1" applyFill="1" applyBorder="1"/>
    <xf numFmtId="3" fontId="0" fillId="19" borderId="0" xfId="0" applyNumberFormat="1" applyFill="1" applyBorder="1"/>
    <xf numFmtId="0" fontId="19" fillId="18" borderId="0" xfId="0" applyFont="1" applyFill="1" applyBorder="1"/>
    <xf numFmtId="0" fontId="19" fillId="2" borderId="0" xfId="0" applyFont="1" applyFill="1"/>
    <xf numFmtId="0" fontId="19" fillId="7" borderId="0" xfId="0" applyFont="1" applyFill="1"/>
    <xf numFmtId="0" fontId="19" fillId="12" borderId="0" xfId="0" applyFont="1" applyFill="1"/>
    <xf numFmtId="0" fontId="2" fillId="20" borderId="0" xfId="0" applyFont="1" applyFill="1" applyBorder="1" applyAlignment="1">
      <alignment vertical="center"/>
    </xf>
    <xf numFmtId="3" fontId="2" fillId="14" borderId="0" xfId="0" applyNumberFormat="1" applyFont="1" applyFill="1" applyBorder="1" applyAlignment="1">
      <alignment vertical="center"/>
    </xf>
    <xf numFmtId="0" fontId="4" fillId="12" borderId="0" xfId="0" applyFont="1" applyFill="1"/>
    <xf numFmtId="0" fontId="6" fillId="12" borderId="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164" fontId="5" fillId="9" borderId="1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/>
    <xf numFmtId="0" fontId="6" fillId="15" borderId="1" xfId="0" applyFont="1" applyFill="1" applyBorder="1" applyAlignment="1">
      <alignment horizontal="center" vertical="center"/>
    </xf>
    <xf numFmtId="164" fontId="0" fillId="16" borderId="1" xfId="0" applyNumberFormat="1" applyFill="1" applyBorder="1"/>
    <xf numFmtId="167" fontId="13" fillId="19" borderId="1" xfId="2" applyNumberFormat="1" applyFont="1" applyFill="1" applyBorder="1"/>
    <xf numFmtId="0" fontId="13" fillId="0" borderId="0" xfId="0" applyFont="1" applyFill="1" applyBorder="1"/>
    <xf numFmtId="9" fontId="13" fillId="0" borderId="0" xfId="2" applyFont="1" applyFill="1" applyBorder="1"/>
    <xf numFmtId="0" fontId="6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5" fillId="0" borderId="0" xfId="0" applyNumberFormat="1" applyFont="1" applyFill="1" applyBorder="1"/>
    <xf numFmtId="0" fontId="6" fillId="2" borderId="0" xfId="0" applyFont="1" applyFill="1" applyBorder="1" applyAlignment="1">
      <alignment horizontal="center" vertical="center"/>
    </xf>
    <xf numFmtId="172" fontId="0" fillId="4" borderId="0" xfId="1" applyNumberFormat="1" applyFont="1" applyFill="1" applyBorder="1"/>
    <xf numFmtId="172" fontId="2" fillId="3" borderId="0" xfId="1" applyNumberFormat="1" applyFont="1" applyFill="1" applyBorder="1"/>
    <xf numFmtId="10" fontId="0" fillId="0" borderId="0" xfId="2" applyNumberFormat="1" applyFont="1" applyFill="1" applyBorder="1"/>
    <xf numFmtId="2" fontId="0" fillId="0" borderId="0" xfId="0" applyNumberFormat="1" applyFill="1" applyBorder="1"/>
    <xf numFmtId="0" fontId="2" fillId="0" borderId="0" xfId="0" applyFont="1" applyFill="1" applyBorder="1"/>
    <xf numFmtId="164" fontId="0" fillId="0" borderId="0" xfId="0" applyNumberFormat="1" applyFont="1" applyFill="1" applyBorder="1" applyAlignment="1"/>
    <xf numFmtId="1" fontId="0" fillId="0" borderId="0" xfId="0" applyNumberFormat="1" applyFill="1" applyBorder="1"/>
    <xf numFmtId="164" fontId="0" fillId="0" borderId="0" xfId="0" applyNumberFormat="1" applyFont="1" applyFill="1" applyBorder="1"/>
    <xf numFmtId="9" fontId="0" fillId="0" borderId="0" xfId="2" applyFont="1" applyFill="1" applyBorder="1"/>
    <xf numFmtId="0" fontId="0" fillId="0" borderId="0" xfId="0" applyFill="1" applyAlignment="1">
      <alignment vertical="center"/>
    </xf>
    <xf numFmtId="3" fontId="2" fillId="4" borderId="0" xfId="1" applyNumberFormat="1" applyFont="1" applyFill="1" applyBorder="1"/>
    <xf numFmtId="3" fontId="0" fillId="4" borderId="0" xfId="1" applyNumberFormat="1" applyFont="1" applyFill="1" applyBorder="1"/>
    <xf numFmtId="179" fontId="2" fillId="4" borderId="0" xfId="1" applyNumberFormat="1" applyFont="1" applyFill="1" applyBorder="1"/>
    <xf numFmtId="179" fontId="0" fillId="4" borderId="0" xfId="1" applyNumberFormat="1" applyFont="1" applyFill="1" applyBorder="1"/>
    <xf numFmtId="3" fontId="2" fillId="3" borderId="0" xfId="1" applyNumberFormat="1" applyFont="1" applyFill="1" applyBorder="1"/>
    <xf numFmtId="179" fontId="0" fillId="3" borderId="0" xfId="1" applyNumberFormat="1" applyFont="1" applyFill="1" applyBorder="1"/>
    <xf numFmtId="0" fontId="5" fillId="5" borderId="0" xfId="0" applyFont="1" applyFill="1"/>
    <xf numFmtId="0" fontId="6" fillId="5" borderId="0" xfId="0" applyFont="1" applyFill="1"/>
    <xf numFmtId="0" fontId="0" fillId="0" borderId="0" xfId="0" applyFont="1" applyAlignment="1">
      <alignment horizontal="left" vertical="center"/>
    </xf>
    <xf numFmtId="166" fontId="32" fillId="30" borderId="0" xfId="9" applyNumberFormat="1" applyFont="1" applyFill="1" applyBorder="1" applyAlignment="1">
      <alignment horizontal="center"/>
    </xf>
    <xf numFmtId="166" fontId="32" fillId="30" borderId="0" xfId="9" applyNumberFormat="1" applyFont="1" applyFill="1" applyBorder="1"/>
    <xf numFmtId="0" fontId="5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5" fillId="8" borderId="0" xfId="0" applyFont="1" applyFill="1"/>
    <xf numFmtId="0" fontId="32" fillId="28" borderId="0" xfId="9" applyFont="1" applyFill="1" applyBorder="1"/>
    <xf numFmtId="0" fontId="2" fillId="18" borderId="0" xfId="0" applyFont="1" applyFill="1" applyBorder="1" applyAlignment="1">
      <alignment horizontal="left"/>
    </xf>
    <xf numFmtId="0" fontId="2" fillId="18" borderId="0" xfId="0" applyFont="1" applyFill="1" applyBorder="1"/>
    <xf numFmtId="0" fontId="2" fillId="2" borderId="0" xfId="0" applyFont="1" applyFill="1"/>
    <xf numFmtId="3" fontId="2" fillId="8" borderId="0" xfId="0" applyNumberFormat="1" applyFont="1" applyFill="1" applyBorder="1"/>
    <xf numFmtId="3" fontId="0" fillId="4" borderId="0" xfId="0" applyNumberFormat="1" applyFill="1" applyBorder="1" applyAlignment="1">
      <alignment horizontal="right"/>
    </xf>
    <xf numFmtId="0" fontId="28" fillId="4" borderId="0" xfId="0" applyFont="1" applyFill="1" applyBorder="1" applyAlignment="1">
      <alignment horizontal="left" vertical="center" wrapText="1"/>
    </xf>
    <xf numFmtId="180" fontId="62" fillId="4" borderId="0" xfId="0" applyNumberFormat="1" applyFont="1" applyFill="1" applyBorder="1" applyAlignment="1">
      <alignment vertical="center"/>
    </xf>
    <xf numFmtId="0" fontId="28" fillId="4" borderId="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left" vertical="center" wrapText="1"/>
    </xf>
    <xf numFmtId="180" fontId="63" fillId="3" borderId="0" xfId="0" applyNumberFormat="1" applyFont="1" applyFill="1" applyBorder="1" applyAlignment="1">
      <alignment vertical="center"/>
    </xf>
    <xf numFmtId="0" fontId="28" fillId="3" borderId="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/>
    </xf>
    <xf numFmtId="0" fontId="5" fillId="0" borderId="0" xfId="0" applyFont="1" applyBorder="1"/>
    <xf numFmtId="0" fontId="28" fillId="3" borderId="0" xfId="0" applyFont="1" applyFill="1" applyBorder="1" applyAlignment="1">
      <alignment horizontal="left" vertical="center"/>
    </xf>
    <xf numFmtId="0" fontId="28" fillId="3" borderId="0" xfId="0" applyFont="1" applyFill="1" applyBorder="1"/>
    <xf numFmtId="180" fontId="28" fillId="3" borderId="0" xfId="0" applyNumberFormat="1" applyFont="1" applyFill="1" applyBorder="1"/>
    <xf numFmtId="9" fontId="29" fillId="3" borderId="0" xfId="2" applyFont="1" applyFill="1" applyBorder="1"/>
    <xf numFmtId="0" fontId="64" fillId="0" borderId="0" xfId="0" applyFont="1" applyAlignment="1">
      <alignment vertical="top"/>
    </xf>
    <xf numFmtId="0" fontId="65" fillId="0" borderId="0" xfId="0" applyFont="1"/>
    <xf numFmtId="0" fontId="5" fillId="4" borderId="0" xfId="0" applyFont="1" applyFill="1" applyBorder="1" applyAlignment="1">
      <alignment vertical="top"/>
    </xf>
    <xf numFmtId="0" fontId="28" fillId="4" borderId="0" xfId="0" applyFont="1" applyFill="1" applyBorder="1" applyAlignment="1">
      <alignment horizontal="left" vertical="top" wrapText="1"/>
    </xf>
    <xf numFmtId="0" fontId="29" fillId="2" borderId="0" xfId="0" applyFont="1" applyFill="1" applyBorder="1" applyAlignment="1">
      <alignment horizontal="left" vertical="top" wrapText="1"/>
    </xf>
    <xf numFmtId="0" fontId="28" fillId="2" borderId="0" xfId="0" applyFont="1" applyFill="1" applyBorder="1"/>
    <xf numFmtId="0" fontId="29" fillId="2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top"/>
    </xf>
    <xf numFmtId="1" fontId="29" fillId="2" borderId="0" xfId="0" applyNumberFormat="1" applyFont="1" applyFill="1" applyBorder="1"/>
    <xf numFmtId="0" fontId="28" fillId="2" borderId="0" xfId="0" applyFont="1" applyFill="1" applyBorder="1" applyAlignment="1">
      <alignment horizontal="left" vertical="top" wrapText="1"/>
    </xf>
    <xf numFmtId="0" fontId="29" fillId="2" borderId="0" xfId="0" applyFont="1" applyFill="1" applyBorder="1" applyAlignment="1">
      <alignment horizontal="center" vertical="center"/>
    </xf>
    <xf numFmtId="180" fontId="63" fillId="2" borderId="0" xfId="0" applyNumberFormat="1" applyFont="1" applyFill="1" applyBorder="1" applyAlignment="1">
      <alignment vertical="center"/>
    </xf>
    <xf numFmtId="0" fontId="28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left" vertical="center"/>
    </xf>
    <xf numFmtId="180" fontId="28" fillId="2" borderId="0" xfId="0" applyNumberFormat="1" applyFont="1" applyFill="1" applyBorder="1"/>
    <xf numFmtId="9" fontId="29" fillId="2" borderId="0" xfId="2" applyFont="1" applyFill="1" applyBorder="1"/>
    <xf numFmtId="0" fontId="28" fillId="4" borderId="0" xfId="0" applyFont="1" applyFill="1" applyBorder="1" applyAlignment="1">
      <alignment horizontal="right" vertical="top" wrapText="1"/>
    </xf>
    <xf numFmtId="0" fontId="6" fillId="0" borderId="0" xfId="0" applyFont="1"/>
    <xf numFmtId="0" fontId="66" fillId="0" borderId="0" xfId="0" applyFont="1"/>
    <xf numFmtId="0" fontId="67" fillId="0" borderId="0" xfId="0" applyFont="1"/>
    <xf numFmtId="3" fontId="2" fillId="7" borderId="0" xfId="0" applyNumberFormat="1" applyFont="1" applyFill="1" applyBorder="1"/>
    <xf numFmtId="9" fontId="22" fillId="7" borderId="0" xfId="2" applyFont="1" applyFill="1" applyBorder="1"/>
    <xf numFmtId="10" fontId="0" fillId="9" borderId="0" xfId="2" applyNumberFormat="1" applyFont="1" applyFill="1" applyBorder="1"/>
    <xf numFmtId="0" fontId="2" fillId="9" borderId="0" xfId="0" applyFont="1" applyFill="1" applyBorder="1"/>
    <xf numFmtId="0" fontId="0" fillId="9" borderId="0" xfId="0" applyFont="1" applyFill="1" applyBorder="1"/>
    <xf numFmtId="3" fontId="18" fillId="0" borderId="0" xfId="0" applyNumberFormat="1" applyFont="1"/>
    <xf numFmtId="167" fontId="18" fillId="0" borderId="0" xfId="0" applyNumberFormat="1" applyFont="1"/>
    <xf numFmtId="0" fontId="18" fillId="0" borderId="0" xfId="0" applyFont="1"/>
    <xf numFmtId="9" fontId="18" fillId="0" borderId="0" xfId="2" applyFont="1"/>
    <xf numFmtId="167" fontId="0" fillId="0" borderId="0" xfId="2" applyNumberFormat="1" applyFont="1" applyFill="1" applyBorder="1" applyAlignment="1">
      <alignment horizontal="center"/>
    </xf>
    <xf numFmtId="0" fontId="48" fillId="0" borderId="0" xfId="0" applyFont="1" applyBorder="1"/>
    <xf numFmtId="182" fontId="0" fillId="9" borderId="0" xfId="0" applyNumberFormat="1" applyFill="1"/>
    <xf numFmtId="0" fontId="16" fillId="7" borderId="0" xfId="0" applyFont="1" applyFill="1" applyBorder="1" applyAlignment="1">
      <alignment horizontal="center" vertical="center"/>
    </xf>
    <xf numFmtId="0" fontId="17" fillId="9" borderId="0" xfId="0" applyFont="1" applyFill="1" applyBorder="1" applyAlignment="1">
      <alignment vertical="center"/>
    </xf>
    <xf numFmtId="3" fontId="29" fillId="9" borderId="0" xfId="0" applyNumberFormat="1" applyFont="1" applyFill="1" applyBorder="1" applyAlignment="1">
      <alignment horizontal="right" vertical="center"/>
    </xf>
    <xf numFmtId="0" fontId="16" fillId="9" borderId="0" xfId="0" applyFont="1" applyFill="1" applyBorder="1" applyAlignment="1">
      <alignment vertical="center"/>
    </xf>
    <xf numFmtId="0" fontId="16" fillId="7" borderId="0" xfId="0" applyFont="1" applyFill="1" applyBorder="1" applyAlignment="1">
      <alignment vertical="center"/>
    </xf>
    <xf numFmtId="6" fontId="29" fillId="7" borderId="0" xfId="0" applyNumberFormat="1" applyFont="1" applyFill="1" applyBorder="1" applyAlignment="1">
      <alignment horizontal="right" vertical="center"/>
    </xf>
    <xf numFmtId="3" fontId="16" fillId="9" borderId="0" xfId="0" applyNumberFormat="1" applyFont="1" applyFill="1" applyBorder="1" applyAlignment="1">
      <alignment horizontal="right" vertical="center"/>
    </xf>
    <xf numFmtId="0" fontId="28" fillId="9" borderId="0" xfId="0" applyFont="1" applyFill="1" applyBorder="1"/>
    <xf numFmtId="3" fontId="28" fillId="9" borderId="0" xfId="0" applyNumberFormat="1" applyFont="1" applyFill="1" applyBorder="1" applyAlignment="1">
      <alignment horizontal="right" vertical="center"/>
    </xf>
    <xf numFmtId="3" fontId="17" fillId="9" borderId="0" xfId="0" applyNumberFormat="1" applyFont="1" applyFill="1" applyBorder="1" applyAlignment="1">
      <alignment horizontal="right" vertical="center"/>
    </xf>
    <xf numFmtId="43" fontId="16" fillId="7" borderId="0" xfId="1" applyFont="1" applyFill="1" applyBorder="1" applyAlignment="1">
      <alignment horizontal="center" vertical="center"/>
    </xf>
    <xf numFmtId="0" fontId="68" fillId="0" borderId="0" xfId="0" applyFont="1"/>
    <xf numFmtId="0" fontId="69" fillId="0" borderId="0" xfId="0" applyFont="1"/>
    <xf numFmtId="0" fontId="17" fillId="9" borderId="0" xfId="0" applyFont="1" applyFill="1" applyBorder="1" applyAlignment="1">
      <alignment horizontal="left" vertical="center"/>
    </xf>
    <xf numFmtId="10" fontId="17" fillId="9" borderId="0" xfId="0" applyNumberFormat="1" applyFont="1" applyFill="1" applyBorder="1" applyAlignment="1">
      <alignment horizontal="right" vertical="center"/>
    </xf>
    <xf numFmtId="172" fontId="17" fillId="9" borderId="0" xfId="1" applyNumberFormat="1" applyFont="1" applyFill="1" applyBorder="1" applyAlignment="1">
      <alignment horizontal="right" vertical="center"/>
    </xf>
    <xf numFmtId="172" fontId="5" fillId="9" borderId="0" xfId="1" applyNumberFormat="1" applyFont="1" applyFill="1"/>
    <xf numFmtId="9" fontId="5" fillId="9" borderId="0" xfId="2" applyFont="1" applyFill="1"/>
    <xf numFmtId="0" fontId="5" fillId="19" borderId="0" xfId="0" applyFont="1" applyFill="1" applyBorder="1"/>
    <xf numFmtId="43" fontId="5" fillId="19" borderId="0" xfId="1" applyFont="1" applyFill="1" applyBorder="1"/>
    <xf numFmtId="43" fontId="28" fillId="18" borderId="0" xfId="1" applyFont="1" applyFill="1" applyBorder="1"/>
    <xf numFmtId="2" fontId="28" fillId="18" borderId="0" xfId="0" applyNumberFormat="1" applyFont="1" applyFill="1" applyBorder="1" applyAlignment="1">
      <alignment horizontal="center"/>
    </xf>
    <xf numFmtId="0" fontId="6" fillId="18" borderId="0" xfId="0" applyFont="1" applyFill="1" applyBorder="1"/>
    <xf numFmtId="43" fontId="6" fillId="18" borderId="0" xfId="1" applyFont="1" applyFill="1" applyBorder="1"/>
    <xf numFmtId="2" fontId="28" fillId="18" borderId="0" xfId="0" applyNumberFormat="1" applyFont="1" applyFill="1" applyBorder="1" applyAlignment="1">
      <alignment horizontal="right"/>
    </xf>
    <xf numFmtId="0" fontId="29" fillId="33" borderId="0" xfId="0" applyFont="1" applyFill="1" applyBorder="1" applyAlignment="1">
      <alignment horizontal="left" vertical="top" wrapText="1"/>
    </xf>
    <xf numFmtId="0" fontId="29" fillId="33" borderId="0" xfId="0" applyFont="1" applyFill="1" applyBorder="1" applyAlignment="1">
      <alignment horizontal="center" vertical="top" wrapText="1"/>
    </xf>
    <xf numFmtId="2" fontId="28" fillId="19" borderId="0" xfId="0" applyNumberFormat="1" applyFont="1" applyFill="1" applyBorder="1" applyAlignment="1">
      <alignment horizontal="center"/>
    </xf>
    <xf numFmtId="0" fontId="29" fillId="18" borderId="0" xfId="0" applyFont="1" applyFill="1" applyBorder="1"/>
    <xf numFmtId="166" fontId="29" fillId="18" borderId="0" xfId="0" applyNumberFormat="1" applyFont="1" applyFill="1" applyBorder="1" applyAlignment="1">
      <alignment horizontal="center"/>
    </xf>
    <xf numFmtId="43" fontId="5" fillId="19" borderId="0" xfId="1" applyFont="1" applyFill="1" applyBorder="1" applyAlignment="1">
      <alignment horizontal="right"/>
    </xf>
    <xf numFmtId="43" fontId="6" fillId="18" borderId="0" xfId="1" applyFont="1" applyFill="1" applyBorder="1" applyAlignment="1">
      <alignment horizontal="right"/>
    </xf>
    <xf numFmtId="10" fontId="0" fillId="0" borderId="0" xfId="0" applyNumberFormat="1"/>
    <xf numFmtId="2" fontId="5" fillId="19" borderId="0" xfId="1" applyNumberFormat="1" applyFont="1" applyFill="1" applyBorder="1" applyAlignment="1">
      <alignment horizontal="center"/>
    </xf>
    <xf numFmtId="43" fontId="0" fillId="0" borderId="0" xfId="0" applyNumberFormat="1"/>
    <xf numFmtId="172" fontId="5" fillId="3" borderId="0" xfId="1" applyNumberFormat="1" applyFont="1" applyFill="1"/>
    <xf numFmtId="0" fontId="6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5" fillId="2" borderId="0" xfId="0" applyNumberFormat="1" applyFont="1" applyFill="1"/>
    <xf numFmtId="1" fontId="5" fillId="3" borderId="0" xfId="1" applyNumberFormat="1" applyFont="1" applyFill="1"/>
    <xf numFmtId="9" fontId="28" fillId="9" borderId="0" xfId="0" applyNumberFormat="1" applyFont="1" applyFill="1" applyBorder="1" applyAlignment="1">
      <alignment horizontal="right" vertical="center"/>
    </xf>
    <xf numFmtId="0" fontId="70" fillId="9" borderId="0" xfId="0" applyFont="1" applyFill="1" applyBorder="1" applyAlignment="1">
      <alignment vertical="center"/>
    </xf>
    <xf numFmtId="165" fontId="28" fillId="9" borderId="0" xfId="0" applyNumberFormat="1" applyFont="1" applyFill="1" applyBorder="1" applyAlignment="1">
      <alignment horizontal="right" vertical="center"/>
    </xf>
    <xf numFmtId="166" fontId="29" fillId="7" borderId="0" xfId="0" applyNumberFormat="1" applyFont="1" applyFill="1" applyBorder="1" applyAlignment="1">
      <alignment horizontal="right" vertical="center"/>
    </xf>
    <xf numFmtId="178" fontId="28" fillId="9" borderId="0" xfId="0" applyNumberFormat="1" applyFont="1" applyFill="1" applyBorder="1" applyAlignment="1">
      <alignment horizontal="right" vertical="center"/>
    </xf>
    <xf numFmtId="172" fontId="28" fillId="9" borderId="0" xfId="1" applyNumberFormat="1" applyFont="1" applyFill="1" applyBorder="1" applyAlignment="1">
      <alignment horizontal="right" vertical="center"/>
    </xf>
    <xf numFmtId="172" fontId="29" fillId="7" borderId="0" xfId="1" applyNumberFormat="1" applyFont="1" applyFill="1" applyBorder="1" applyAlignment="1">
      <alignment horizontal="right" vertical="center"/>
    </xf>
    <xf numFmtId="0" fontId="16" fillId="7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19" borderId="0" xfId="0" applyFont="1" applyFill="1" applyBorder="1" applyAlignment="1">
      <alignment wrapText="1"/>
    </xf>
    <xf numFmtId="172" fontId="5" fillId="19" borderId="0" xfId="1" applyNumberFormat="1" applyFont="1" applyFill="1" applyBorder="1" applyAlignment="1">
      <alignment horizontal="right"/>
    </xf>
    <xf numFmtId="172" fontId="6" fillId="19" borderId="0" xfId="0" applyNumberFormat="1" applyFont="1" applyFill="1" applyBorder="1" applyAlignment="1">
      <alignment horizontal="right" wrapText="1"/>
    </xf>
    <xf numFmtId="183" fontId="6" fillId="19" borderId="0" xfId="0" applyNumberFormat="1" applyFont="1" applyFill="1" applyBorder="1" applyAlignment="1">
      <alignment horizontal="right" wrapText="1"/>
    </xf>
    <xf numFmtId="172" fontId="5" fillId="19" borderId="0" xfId="1" applyNumberFormat="1" applyFont="1" applyFill="1" applyBorder="1"/>
    <xf numFmtId="2" fontId="5" fillId="19" borderId="0" xfId="0" applyNumberFormat="1" applyFont="1" applyFill="1" applyBorder="1"/>
    <xf numFmtId="0" fontId="2" fillId="18" borderId="4" xfId="0" applyFont="1" applyFill="1" applyBorder="1" applyAlignment="1">
      <alignment horizontal="center"/>
    </xf>
    <xf numFmtId="0" fontId="6" fillId="19" borderId="0" xfId="0" applyFont="1" applyFill="1" applyBorder="1"/>
    <xf numFmtId="172" fontId="6" fillId="19" borderId="0" xfId="1" applyNumberFormat="1" applyFont="1" applyFill="1" applyBorder="1" applyAlignment="1">
      <alignment horizontal="right"/>
    </xf>
    <xf numFmtId="2" fontId="6" fillId="19" borderId="0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6" fillId="36" borderId="0" xfId="0" applyFont="1" applyFill="1" applyBorder="1" applyAlignment="1">
      <alignment wrapText="1"/>
    </xf>
    <xf numFmtId="172" fontId="6" fillId="36" borderId="0" xfId="0" applyNumberFormat="1" applyFont="1" applyFill="1" applyBorder="1" applyAlignment="1">
      <alignment horizontal="right" wrapText="1"/>
    </xf>
    <xf numFmtId="183" fontId="6" fillId="36" borderId="0" xfId="0" applyNumberFormat="1" applyFont="1" applyFill="1" applyBorder="1" applyAlignment="1">
      <alignment horizontal="right" wrapText="1"/>
    </xf>
    <xf numFmtId="2" fontId="6" fillId="36" borderId="0" xfId="0" applyNumberFormat="1" applyFont="1" applyFill="1" applyBorder="1" applyAlignment="1">
      <alignment wrapText="1"/>
    </xf>
    <xf numFmtId="2" fontId="0" fillId="36" borderId="0" xfId="0" applyNumberFormat="1" applyFill="1" applyAlignment="1">
      <alignment wrapText="1"/>
    </xf>
    <xf numFmtId="0" fontId="0" fillId="36" borderId="0" xfId="0" applyFill="1" applyAlignment="1">
      <alignment wrapText="1"/>
    </xf>
    <xf numFmtId="43" fontId="6" fillId="19" borderId="0" xfId="0" applyNumberFormat="1" applyFont="1" applyFill="1" applyBorder="1" applyAlignment="1">
      <alignment horizontal="right" wrapText="1"/>
    </xf>
    <xf numFmtId="2" fontId="6" fillId="19" borderId="0" xfId="1" applyNumberFormat="1" applyFont="1" applyFill="1" applyBorder="1" applyAlignment="1">
      <alignment horizontal="right"/>
    </xf>
    <xf numFmtId="0" fontId="5" fillId="19" borderId="0" xfId="0" applyFont="1" applyFill="1" applyBorder="1" applyAlignment="1">
      <alignment horizontal="right"/>
    </xf>
    <xf numFmtId="2" fontId="6" fillId="19" borderId="0" xfId="0" applyNumberFormat="1" applyFont="1" applyFill="1" applyBorder="1"/>
    <xf numFmtId="0" fontId="0" fillId="0" borderId="0" xfId="0" applyBorder="1" applyAlignment="1">
      <alignment wrapText="1"/>
    </xf>
    <xf numFmtId="0" fontId="0" fillId="36" borderId="0" xfId="0" applyFill="1" applyBorder="1" applyAlignment="1">
      <alignment wrapText="1"/>
    </xf>
    <xf numFmtId="10" fontId="6" fillId="19" borderId="0" xfId="2" applyNumberFormat="1" applyFont="1" applyFill="1" applyBorder="1" applyAlignment="1">
      <alignment horizontal="right"/>
    </xf>
    <xf numFmtId="43" fontId="5" fillId="19" borderId="0" xfId="1" applyNumberFormat="1" applyFont="1" applyFill="1" applyBorder="1" applyAlignment="1">
      <alignment horizontal="right"/>
    </xf>
    <xf numFmtId="0" fontId="72" fillId="0" borderId="0" xfId="0" applyFont="1"/>
    <xf numFmtId="0" fontId="73" fillId="2" borderId="0" xfId="0" applyFont="1" applyFill="1"/>
    <xf numFmtId="0" fontId="74" fillId="2" borderId="0" xfId="10" applyFont="1" applyFill="1" applyAlignment="1" applyProtection="1"/>
    <xf numFmtId="0" fontId="74" fillId="2" borderId="0" xfId="10" applyFont="1" applyFill="1" applyAlignment="1" applyProtection="1">
      <alignment horizontal="right" vertical="top"/>
    </xf>
    <xf numFmtId="0" fontId="75" fillId="0" borderId="0" xfId="0" applyFont="1"/>
    <xf numFmtId="0" fontId="0" fillId="3" borderId="0" xfId="0" applyFont="1" applyFill="1" applyBorder="1"/>
    <xf numFmtId="3" fontId="0" fillId="0" borderId="0" xfId="0" applyNumberFormat="1" applyFont="1"/>
    <xf numFmtId="0" fontId="73" fillId="7" borderId="0" xfId="0" applyFont="1" applyFill="1"/>
    <xf numFmtId="0" fontId="0" fillId="8" borderId="0" xfId="0" applyFont="1" applyFill="1" applyBorder="1"/>
    <xf numFmtId="2" fontId="0" fillId="8" borderId="0" xfId="0" applyNumberFormat="1" applyFont="1" applyFill="1" applyBorder="1"/>
    <xf numFmtId="3" fontId="0" fillId="9" borderId="0" xfId="0" applyNumberFormat="1" applyFont="1" applyFill="1" applyBorder="1"/>
    <xf numFmtId="0" fontId="76" fillId="0" borderId="0" xfId="0" applyFont="1"/>
    <xf numFmtId="0" fontId="76" fillId="0" borderId="0" xfId="0" applyFont="1" applyAlignment="1">
      <alignment vertical="top"/>
    </xf>
    <xf numFmtId="2" fontId="0" fillId="0" borderId="0" xfId="0" applyNumberFormat="1" applyFont="1"/>
    <xf numFmtId="0" fontId="73" fillId="12" borderId="0" xfId="0" applyFont="1" applyFill="1"/>
    <xf numFmtId="0" fontId="0" fillId="10" borderId="0" xfId="0" applyFont="1" applyFill="1" applyBorder="1"/>
    <xf numFmtId="3" fontId="0" fillId="11" borderId="0" xfId="0" applyNumberFormat="1" applyFont="1" applyFill="1" applyBorder="1"/>
    <xf numFmtId="0" fontId="73" fillId="22" borderId="0" xfId="0" applyFont="1" applyFill="1"/>
    <xf numFmtId="0" fontId="0" fillId="20" borderId="0" xfId="0" applyFont="1" applyFill="1" applyBorder="1" applyAlignment="1">
      <alignment vertical="center"/>
    </xf>
    <xf numFmtId="0" fontId="0" fillId="20" borderId="0" xfId="0" applyFont="1" applyFill="1" applyBorder="1"/>
    <xf numFmtId="3" fontId="0" fillId="14" borderId="0" xfId="0" applyNumberFormat="1" applyFont="1" applyFill="1" applyBorder="1" applyAlignment="1">
      <alignment vertical="center"/>
    </xf>
    <xf numFmtId="0" fontId="5" fillId="19" borderId="0" xfId="0" applyFont="1" applyFill="1" applyBorder="1" applyAlignment="1">
      <alignment horizontal="center"/>
    </xf>
    <xf numFmtId="9" fontId="5" fillId="19" borderId="0" xfId="2" applyFont="1" applyFill="1" applyBorder="1" applyAlignment="1">
      <alignment horizontal="center"/>
    </xf>
    <xf numFmtId="0" fontId="6" fillId="36" borderId="0" xfId="0" applyFont="1" applyFill="1" applyBorder="1"/>
    <xf numFmtId="0" fontId="6" fillId="19" borderId="0" xfId="0" applyFont="1" applyFill="1" applyBorder="1" applyAlignment="1">
      <alignment horizontal="center"/>
    </xf>
    <xf numFmtId="9" fontId="6" fillId="19" borderId="0" xfId="2" applyFont="1" applyFill="1" applyBorder="1" applyAlignment="1">
      <alignment horizontal="center"/>
    </xf>
    <xf numFmtId="2" fontId="5" fillId="19" borderId="0" xfId="2" applyNumberFormat="1" applyFont="1" applyFill="1" applyBorder="1" applyAlignment="1">
      <alignment horizontal="center"/>
    </xf>
    <xf numFmtId="2" fontId="6" fillId="19" borderId="0" xfId="2" applyNumberFormat="1" applyFont="1" applyFill="1" applyBorder="1" applyAlignment="1">
      <alignment horizontal="center"/>
    </xf>
    <xf numFmtId="2" fontId="5" fillId="19" borderId="0" xfId="0" applyNumberFormat="1" applyFont="1" applyFill="1" applyBorder="1" applyAlignment="1">
      <alignment horizont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horizontal="center"/>
    </xf>
    <xf numFmtId="9" fontId="28" fillId="0" borderId="0" xfId="2" applyFont="1" applyFill="1" applyBorder="1" applyAlignment="1">
      <alignment horizontal="center"/>
    </xf>
    <xf numFmtId="0" fontId="5" fillId="0" borderId="0" xfId="0" applyFont="1" applyFill="1" applyBorder="1"/>
    <xf numFmtId="2" fontId="5" fillId="0" borderId="0" xfId="0" applyNumberFormat="1" applyFont="1" applyFill="1" applyBorder="1" applyAlignment="1">
      <alignment horizontal="center"/>
    </xf>
    <xf numFmtId="2" fontId="6" fillId="19" borderId="0" xfId="0" applyNumberFormat="1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172" fontId="6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9" fontId="5" fillId="0" borderId="0" xfId="2" applyFont="1" applyFill="1" applyBorder="1" applyAlignment="1">
      <alignment horizontal="center"/>
    </xf>
    <xf numFmtId="2" fontId="5" fillId="0" borderId="0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9" fontId="6" fillId="0" borderId="0" xfId="2" applyFont="1" applyFill="1" applyBorder="1" applyAlignment="1">
      <alignment horizontal="center"/>
    </xf>
    <xf numFmtId="2" fontId="6" fillId="0" borderId="0" xfId="2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3" fontId="28" fillId="9" borderId="0" xfId="0" applyNumberFormat="1" applyFont="1" applyFill="1" applyBorder="1" applyAlignment="1">
      <alignment horizontal="left" vertical="center"/>
    </xf>
    <xf numFmtId="9" fontId="6" fillId="0" borderId="0" xfId="0" applyNumberFormat="1" applyFont="1" applyAlignment="1">
      <alignment horizontal="left"/>
    </xf>
    <xf numFmtId="9" fontId="28" fillId="9" borderId="0" xfId="2" applyFont="1" applyFill="1" applyBorder="1"/>
    <xf numFmtId="0" fontId="16" fillId="7" borderId="0" xfId="0" applyFont="1" applyFill="1" applyBorder="1" applyAlignment="1">
      <alignment horizontal="right" vertical="center" wrapText="1"/>
    </xf>
    <xf numFmtId="172" fontId="28" fillId="9" borderId="0" xfId="1" applyNumberFormat="1" applyFont="1" applyFill="1" applyBorder="1"/>
    <xf numFmtId="172" fontId="28" fillId="9" borderId="0" xfId="1" applyNumberFormat="1" applyFont="1" applyFill="1" applyBorder="1" applyAlignment="1">
      <alignment horizontal="right"/>
    </xf>
    <xf numFmtId="172" fontId="16" fillId="7" borderId="0" xfId="1" applyNumberFormat="1" applyFont="1" applyFill="1" applyBorder="1" applyAlignment="1">
      <alignment horizontal="right" vertical="center" wrapText="1"/>
    </xf>
    <xf numFmtId="172" fontId="0" fillId="0" borderId="0" xfId="0" applyNumberFormat="1"/>
    <xf numFmtId="6" fontId="29" fillId="9" borderId="0" xfId="0" applyNumberFormat="1" applyFont="1" applyFill="1" applyBorder="1" applyAlignment="1">
      <alignment horizontal="right" vertical="center"/>
    </xf>
    <xf numFmtId="10" fontId="29" fillId="9" borderId="0" xfId="2" applyNumberFormat="1" applyFont="1" applyFill="1" applyBorder="1" applyAlignment="1">
      <alignment horizontal="right" vertical="center"/>
    </xf>
    <xf numFmtId="0" fontId="6" fillId="9" borderId="0" xfId="0" applyFont="1" applyFill="1"/>
    <xf numFmtId="172" fontId="6" fillId="9" borderId="0" xfId="1" applyNumberFormat="1" applyFont="1" applyFill="1"/>
    <xf numFmtId="172" fontId="2" fillId="0" borderId="0" xfId="0" applyNumberFormat="1" applyFont="1"/>
    <xf numFmtId="172" fontId="17" fillId="9" borderId="0" xfId="1" applyNumberFormat="1" applyFont="1" applyFill="1" applyBorder="1" applyAlignment="1">
      <alignment vertical="center"/>
    </xf>
    <xf numFmtId="0" fontId="0" fillId="0" borderId="0" xfId="0" applyAlignment="1">
      <alignment horizontal="center" wrapText="1"/>
    </xf>
    <xf numFmtId="172" fontId="29" fillId="9" borderId="0" xfId="1" applyNumberFormat="1" applyFont="1" applyFill="1" applyBorder="1" applyAlignment="1">
      <alignment horizontal="right" vertical="center"/>
    </xf>
    <xf numFmtId="172" fontId="29" fillId="7" borderId="0" xfId="0" applyNumberFormat="1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center" vertical="center"/>
    </xf>
    <xf numFmtId="0" fontId="29" fillId="3" borderId="0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left" vertical="top" wrapText="1"/>
    </xf>
    <xf numFmtId="0" fontId="29" fillId="4" borderId="0" xfId="0" applyFont="1" applyFill="1" applyBorder="1" applyAlignment="1">
      <alignment horizontal="left" vertical="top" wrapText="1"/>
    </xf>
    <xf numFmtId="0" fontId="29" fillId="4" borderId="0" xfId="0" applyFont="1" applyFill="1" applyBorder="1" applyAlignment="1">
      <alignment horizontal="center" vertical="center" textRotation="90" wrapText="1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wrapText="1"/>
    </xf>
    <xf numFmtId="0" fontId="2" fillId="18" borderId="0" xfId="0" applyFont="1" applyFill="1" applyBorder="1" applyAlignment="1">
      <alignment horizontal="left"/>
    </xf>
    <xf numFmtId="0" fontId="2" fillId="20" borderId="0" xfId="0" applyFont="1" applyFill="1" applyAlignment="1">
      <alignment vertical="center"/>
    </xf>
    <xf numFmtId="0" fontId="0" fillId="14" borderId="0" xfId="0" applyFill="1" applyAlignment="1">
      <alignment vertical="center"/>
    </xf>
    <xf numFmtId="0" fontId="0" fillId="14" borderId="0" xfId="0" applyFill="1" applyAlignment="1">
      <alignment horizontal="left"/>
    </xf>
    <xf numFmtId="0" fontId="0" fillId="20" borderId="0" xfId="0" applyFill="1" applyAlignment="1">
      <alignment vertical="center" wrapText="1"/>
    </xf>
    <xf numFmtId="0" fontId="0" fillId="20" borderId="0" xfId="0" applyFill="1" applyAlignment="1">
      <alignment horizontal="left" vertical="center" wrapText="1"/>
    </xf>
    <xf numFmtId="0" fontId="2" fillId="20" borderId="0" xfId="0" applyFont="1" applyFill="1" applyBorder="1" applyAlignment="1">
      <alignment horizontal="left"/>
    </xf>
    <xf numFmtId="0" fontId="15" fillId="14" borderId="0" xfId="0" applyFont="1" applyFill="1" applyAlignment="1">
      <alignment horizontal="left"/>
    </xf>
    <xf numFmtId="0" fontId="2" fillId="18" borderId="2" xfId="0" applyFont="1" applyFill="1" applyBorder="1" applyAlignment="1">
      <alignment horizontal="left"/>
    </xf>
    <xf numFmtId="0" fontId="2" fillId="18" borderId="3" xfId="0" applyFont="1" applyFill="1" applyBorder="1" applyAlignment="1">
      <alignment horizontal="center"/>
    </xf>
    <xf numFmtId="0" fontId="2" fillId="18" borderId="4" xfId="0" applyFont="1" applyFill="1" applyBorder="1" applyAlignment="1">
      <alignment horizontal="center"/>
    </xf>
    <xf numFmtId="0" fontId="2" fillId="18" borderId="7" xfId="0" applyFont="1" applyFill="1" applyBorder="1" applyAlignment="1"/>
    <xf numFmtId="0" fontId="2" fillId="18" borderId="8" xfId="0" applyFont="1" applyFill="1" applyBorder="1" applyAlignment="1"/>
    <xf numFmtId="0" fontId="2" fillId="18" borderId="2" xfId="0" applyFont="1" applyFill="1" applyBorder="1" applyAlignment="1"/>
    <xf numFmtId="0" fontId="2" fillId="18" borderId="0" xfId="0" applyFont="1" applyFill="1" applyBorder="1" applyAlignment="1"/>
    <xf numFmtId="0" fontId="2" fillId="20" borderId="2" xfId="0" applyFont="1" applyFill="1" applyBorder="1" applyAlignment="1">
      <alignment horizontal="left"/>
    </xf>
    <xf numFmtId="0" fontId="2" fillId="18" borderId="7" xfId="0" applyFont="1" applyFill="1" applyBorder="1" applyAlignment="1">
      <alignment horizontal="left"/>
    </xf>
    <xf numFmtId="0" fontId="2" fillId="18" borderId="8" xfId="0" applyFont="1" applyFill="1" applyBorder="1" applyAlignment="1">
      <alignment horizontal="left"/>
    </xf>
    <xf numFmtId="0" fontId="2" fillId="20" borderId="0" xfId="0" applyFont="1" applyFill="1" applyAlignment="1">
      <alignment horizontal="left"/>
    </xf>
    <xf numFmtId="0" fontId="2" fillId="10" borderId="0" xfId="0" applyFont="1" applyFill="1" applyAlignment="1">
      <alignment horizontal="left"/>
    </xf>
    <xf numFmtId="0" fontId="2" fillId="12" borderId="0" xfId="0" applyFont="1" applyFill="1" applyAlignment="1">
      <alignment horizontal="left"/>
    </xf>
    <xf numFmtId="0" fontId="0" fillId="11" borderId="0" xfId="0" applyFill="1" applyAlignment="1">
      <alignment horizontal="left"/>
    </xf>
    <xf numFmtId="0" fontId="17" fillId="17" borderId="14" xfId="0" applyFont="1" applyFill="1" applyBorder="1" applyAlignment="1">
      <alignment horizontal="justify" vertical="center" wrapText="1"/>
    </xf>
    <xf numFmtId="0" fontId="17" fillId="17" borderId="15" xfId="0" applyFont="1" applyFill="1" applyBorder="1" applyAlignment="1">
      <alignment horizontal="justify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/>
    </xf>
    <xf numFmtId="0" fontId="2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6" fillId="3" borderId="0" xfId="0" applyFont="1" applyFill="1" applyBorder="1" applyAlignment="1">
      <alignment horizontal="left"/>
    </xf>
    <xf numFmtId="2" fontId="6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5" fillId="0" borderId="14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justify"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4" borderId="0" xfId="0" applyFont="1" applyFill="1" applyAlignment="1">
      <alignment horizontal="center" wrapText="1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10" fontId="5" fillId="9" borderId="0" xfId="2" applyNumberFormat="1" applyFont="1" applyFill="1" applyAlignment="1">
      <alignment horizontal="center"/>
    </xf>
    <xf numFmtId="3" fontId="6" fillId="4" borderId="0" xfId="0" applyNumberFormat="1" applyFont="1" applyFill="1" applyAlignment="1">
      <alignment horizontal="center"/>
    </xf>
    <xf numFmtId="10" fontId="5" fillId="4" borderId="0" xfId="2" applyNumberFormat="1" applyFont="1" applyFill="1" applyAlignment="1">
      <alignment horizontal="center"/>
    </xf>
    <xf numFmtId="0" fontId="28" fillId="3" borderId="0" xfId="0" applyFont="1" applyFill="1" applyAlignment="1">
      <alignment horizontal="center" wrapText="1"/>
    </xf>
    <xf numFmtId="3" fontId="5" fillId="4" borderId="0" xfId="0" applyNumberFormat="1" applyFont="1" applyFill="1" applyAlignment="1">
      <alignment horizontal="center"/>
    </xf>
    <xf numFmtId="167" fontId="5" fillId="4" borderId="0" xfId="0" applyNumberFormat="1" applyFont="1" applyFill="1" applyAlignment="1">
      <alignment horizontal="center"/>
    </xf>
    <xf numFmtId="167" fontId="6" fillId="4" borderId="0" xfId="0" applyNumberFormat="1" applyFont="1" applyFill="1" applyAlignment="1">
      <alignment horizontal="center"/>
    </xf>
    <xf numFmtId="3" fontId="6" fillId="4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center" wrapText="1"/>
    </xf>
    <xf numFmtId="10" fontId="6" fillId="4" borderId="0" xfId="2" applyNumberFormat="1" applyFont="1" applyFill="1" applyAlignment="1">
      <alignment horizontal="center"/>
    </xf>
    <xf numFmtId="10" fontId="6" fillId="9" borderId="0" xfId="2" applyNumberFormat="1" applyFont="1" applyFill="1" applyAlignment="1">
      <alignment horizontal="center"/>
    </xf>
    <xf numFmtId="167" fontId="6" fillId="4" borderId="0" xfId="2" applyNumberFormat="1" applyFont="1" applyFill="1" applyAlignment="1">
      <alignment horizontal="center"/>
    </xf>
    <xf numFmtId="167" fontId="5" fillId="4" borderId="0" xfId="2" applyNumberFormat="1" applyFont="1" applyFill="1" applyAlignment="1">
      <alignment horizontal="center"/>
    </xf>
    <xf numFmtId="167" fontId="5" fillId="9" borderId="0" xfId="2" applyNumberFormat="1" applyFont="1" applyFill="1" applyAlignment="1">
      <alignment horizontal="center"/>
    </xf>
    <xf numFmtId="167" fontId="19" fillId="4" borderId="0" xfId="0" applyNumberFormat="1" applyFont="1" applyFill="1" applyBorder="1" applyAlignment="1">
      <alignment horizontal="center"/>
    </xf>
    <xf numFmtId="167" fontId="21" fillId="9" borderId="0" xfId="0" applyNumberFormat="1" applyFont="1" applyFill="1" applyBorder="1" applyAlignment="1">
      <alignment horizontal="center"/>
    </xf>
    <xf numFmtId="0" fontId="38" fillId="29" borderId="0" xfId="0" applyFont="1" applyFill="1" applyBorder="1" applyAlignment="1">
      <alignment horizontal="center" vertical="center" wrapText="1"/>
    </xf>
    <xf numFmtId="0" fontId="38" fillId="29" borderId="0" xfId="0" applyFont="1" applyFill="1" applyBorder="1" applyAlignment="1">
      <alignment horizontal="center" vertical="center"/>
    </xf>
    <xf numFmtId="0" fontId="38" fillId="28" borderId="0" xfId="0" applyFont="1" applyFill="1" applyBorder="1" applyAlignment="1">
      <alignment horizontal="center" vertical="center"/>
    </xf>
    <xf numFmtId="0" fontId="38" fillId="12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right"/>
    </xf>
    <xf numFmtId="3" fontId="2" fillId="3" borderId="0" xfId="0" applyNumberFormat="1" applyFont="1" applyFill="1" applyAlignment="1">
      <alignment horizontal="center"/>
    </xf>
    <xf numFmtId="0" fontId="16" fillId="7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2" fillId="33" borderId="0" xfId="0" applyFont="1" applyFill="1" applyBorder="1" applyAlignment="1">
      <alignment horizontal="center" vertical="top" wrapText="1"/>
    </xf>
    <xf numFmtId="179" fontId="78" fillId="4" borderId="0" xfId="1" applyNumberFormat="1" applyFont="1" applyFill="1" applyBorder="1"/>
    <xf numFmtId="0" fontId="6" fillId="18" borderId="1" xfId="0" applyFont="1" applyFill="1" applyBorder="1" applyAlignment="1">
      <alignment horizontal="center"/>
    </xf>
    <xf numFmtId="0" fontId="6" fillId="18" borderId="1" xfId="0" applyFont="1" applyFill="1" applyBorder="1" applyAlignment="1">
      <alignment horizontal="center"/>
    </xf>
    <xf numFmtId="10" fontId="11" fillId="18" borderId="1" xfId="0" applyNumberFormat="1" applyFont="1" applyFill="1" applyBorder="1" applyAlignment="1">
      <alignment horizontal="left" vertical="center"/>
    </xf>
    <xf numFmtId="10" fontId="12" fillId="18" borderId="1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/>
    </xf>
    <xf numFmtId="0" fontId="6" fillId="12" borderId="0" xfId="0" applyFont="1" applyFill="1"/>
    <xf numFmtId="0" fontId="6" fillId="0" borderId="0" xfId="0" applyFont="1" applyFill="1" applyAlignment="1">
      <alignment horizontal="center" vertical="center"/>
    </xf>
    <xf numFmtId="0" fontId="2" fillId="18" borderId="5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/>
    <xf numFmtId="0" fontId="2" fillId="18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18" borderId="0" xfId="0" applyFont="1" applyFill="1" applyBorder="1" applyAlignment="1">
      <alignment horizontal="center"/>
    </xf>
    <xf numFmtId="0" fontId="0" fillId="19" borderId="0" xfId="0" applyNumberFormat="1" applyFill="1" applyBorder="1" applyAlignment="1">
      <alignment horizontal="right"/>
    </xf>
    <xf numFmtId="0" fontId="2" fillId="12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6" fillId="3" borderId="0" xfId="0" applyFont="1" applyFill="1" applyAlignment="1"/>
    <xf numFmtId="166" fontId="5" fillId="4" borderId="0" xfId="0" applyNumberFormat="1" applyFont="1" applyFill="1" applyAlignment="1">
      <alignment horizontal="right"/>
    </xf>
    <xf numFmtId="0" fontId="5" fillId="2" borderId="0" xfId="0" applyFont="1" applyFill="1" applyAlignment="1"/>
    <xf numFmtId="0" fontId="5" fillId="2" borderId="0" xfId="0" applyFont="1" applyFill="1" applyAlignment="1">
      <alignment horizontal="center"/>
    </xf>
    <xf numFmtId="0" fontId="5" fillId="7" borderId="0" xfId="0" applyFont="1" applyFill="1" applyAlignment="1">
      <alignment horizontal="center"/>
    </xf>
    <xf numFmtId="3" fontId="79" fillId="4" borderId="0" xfId="0" applyNumberFormat="1" applyFont="1" applyFill="1"/>
    <xf numFmtId="167" fontId="79" fillId="4" borderId="0" xfId="0" applyNumberFormat="1" applyFont="1" applyFill="1" applyAlignment="1">
      <alignment horizontal="center"/>
    </xf>
    <xf numFmtId="167" fontId="80" fillId="4" borderId="0" xfId="0" applyNumberFormat="1" applyFont="1" applyFill="1" applyAlignment="1">
      <alignment horizontal="center"/>
    </xf>
    <xf numFmtId="3" fontId="79" fillId="4" borderId="0" xfId="0" applyNumberFormat="1" applyFont="1" applyFill="1" applyAlignment="1">
      <alignment horizontal="center"/>
    </xf>
    <xf numFmtId="3" fontId="79" fillId="9" borderId="0" xfId="0" applyNumberFormat="1" applyFont="1" applyFill="1"/>
    <xf numFmtId="0" fontId="2" fillId="0" borderId="0" xfId="0" applyFont="1" applyAlignment="1"/>
    <xf numFmtId="0" fontId="2" fillId="2" borderId="0" xfId="0" applyFont="1" applyFill="1" applyAlignment="1"/>
    <xf numFmtId="0" fontId="0" fillId="22" borderId="0" xfId="0" applyFont="1" applyFill="1"/>
    <xf numFmtId="0" fontId="0" fillId="10" borderId="3" xfId="0" applyFont="1" applyFill="1" applyBorder="1"/>
    <xf numFmtId="0" fontId="0" fillId="10" borderId="4" xfId="0" applyFont="1" applyFill="1" applyBorder="1"/>
    <xf numFmtId="167" fontId="0" fillId="11" borderId="5" xfId="0" applyNumberFormat="1" applyFont="1" applyFill="1" applyBorder="1"/>
    <xf numFmtId="0" fontId="0" fillId="10" borderId="2" xfId="0" applyFont="1" applyFill="1" applyBorder="1"/>
    <xf numFmtId="0" fontId="0" fillId="10" borderId="0" xfId="0" applyFont="1" applyFill="1"/>
    <xf numFmtId="167" fontId="0" fillId="11" borderId="6" xfId="0" applyNumberFormat="1" applyFont="1" applyFill="1" applyBorder="1"/>
    <xf numFmtId="0" fontId="0" fillId="10" borderId="7" xfId="0" applyFont="1" applyFill="1" applyBorder="1"/>
    <xf numFmtId="0" fontId="0" fillId="10" borderId="8" xfId="0" applyFont="1" applyFill="1" applyBorder="1"/>
    <xf numFmtId="167" fontId="0" fillId="11" borderId="9" xfId="0" applyNumberFormat="1" applyFont="1" applyFill="1" applyBorder="1"/>
    <xf numFmtId="0" fontId="0" fillId="0" borderId="0" xfId="0" applyFont="1" applyBorder="1"/>
    <xf numFmtId="167" fontId="0" fillId="0" borderId="0" xfId="0" applyNumberFormat="1" applyFont="1" applyBorder="1"/>
    <xf numFmtId="0" fontId="0" fillId="10" borderId="17" xfId="0" applyFont="1" applyFill="1" applyBorder="1"/>
    <xf numFmtId="0" fontId="0" fillId="10" borderId="18" xfId="0" applyFont="1" applyFill="1" applyBorder="1"/>
    <xf numFmtId="9" fontId="0" fillId="11" borderId="18" xfId="0" applyNumberFormat="1" applyFont="1" applyFill="1" applyBorder="1"/>
    <xf numFmtId="9" fontId="0" fillId="11" borderId="19" xfId="0" applyNumberFormat="1" applyFont="1" applyFill="1" applyBorder="1"/>
    <xf numFmtId="1" fontId="29" fillId="2" borderId="0" xfId="3" applyFont="1" applyFill="1" applyBorder="1">
      <alignment horizontal="left"/>
    </xf>
    <xf numFmtId="1" fontId="29" fillId="7" borderId="0" xfId="3" applyFont="1" applyFill="1" applyBorder="1" applyAlignment="1">
      <alignment horizontal="center" vertical="center"/>
    </xf>
    <xf numFmtId="169" fontId="28" fillId="3" borderId="0" xfId="5" applyFont="1" applyFill="1" applyBorder="1">
      <alignment horizontal="left"/>
    </xf>
    <xf numFmtId="171" fontId="28" fillId="4" borderId="0" xfId="6" applyNumberFormat="1" applyFont="1" applyFill="1" applyBorder="1" applyAlignment="1">
      <alignment horizontal="right"/>
      <protection locked="0"/>
    </xf>
    <xf numFmtId="171" fontId="28" fillId="9" borderId="0" xfId="6" applyNumberFormat="1" applyFont="1" applyFill="1" applyBorder="1" applyAlignment="1">
      <alignment horizontal="right"/>
      <protection locked="0"/>
    </xf>
    <xf numFmtId="169" fontId="29" fillId="3" borderId="0" xfId="7" applyFont="1" applyFill="1" applyBorder="1">
      <alignment horizontal="left"/>
    </xf>
    <xf numFmtId="171" fontId="29" fillId="3" borderId="0" xfId="8" applyNumberFormat="1" applyFont="1" applyFill="1" applyBorder="1" applyAlignment="1">
      <alignment horizontal="right"/>
    </xf>
    <xf numFmtId="171" fontId="29" fillId="8" borderId="0" xfId="8" applyNumberFormat="1" applyFont="1" applyFill="1" applyBorder="1" applyAlignment="1">
      <alignment horizontal="right"/>
    </xf>
    <xf numFmtId="169" fontId="29" fillId="0" borderId="0" xfId="7" applyFont="1" applyFill="1" applyBorder="1">
      <alignment horizontal="left"/>
    </xf>
    <xf numFmtId="170" fontId="29" fillId="0" borderId="0" xfId="8" applyFont="1" applyFill="1" applyBorder="1"/>
    <xf numFmtId="169" fontId="29" fillId="3" borderId="0" xfId="5" applyFont="1" applyFill="1" applyBorder="1">
      <alignment horizontal="left"/>
    </xf>
    <xf numFmtId="171" fontId="29" fillId="4" borderId="0" xfId="6" applyNumberFormat="1" applyFont="1" applyFill="1" applyBorder="1">
      <protection locked="0"/>
    </xf>
    <xf numFmtId="169" fontId="28" fillId="0" borderId="0" xfId="5" applyFont="1" applyFill="1" applyBorder="1">
      <alignment horizontal="left"/>
    </xf>
    <xf numFmtId="170" fontId="28" fillId="0" borderId="0" xfId="6" applyFont="1" applyFill="1" applyBorder="1">
      <protection locked="0"/>
    </xf>
    <xf numFmtId="171" fontId="28" fillId="4" borderId="0" xfId="6" applyNumberFormat="1" applyFont="1" applyFill="1" applyBorder="1">
      <protection locked="0"/>
    </xf>
    <xf numFmtId="171" fontId="28" fillId="9" borderId="0" xfId="6" applyNumberFormat="1" applyFont="1" applyFill="1" applyBorder="1">
      <protection locked="0"/>
    </xf>
    <xf numFmtId="171" fontId="29" fillId="4" borderId="0" xfId="8" applyNumberFormat="1" applyFont="1" applyFill="1" applyBorder="1"/>
    <xf numFmtId="171" fontId="29" fillId="9" borderId="0" xfId="8" applyNumberFormat="1" applyFont="1" applyFill="1" applyBorder="1"/>
    <xf numFmtId="171" fontId="29" fillId="0" borderId="0" xfId="8" applyNumberFormat="1" applyFont="1" applyFill="1" applyBorder="1"/>
    <xf numFmtId="1" fontId="29" fillId="3" borderId="0" xfId="3" applyFont="1" applyFill="1" applyBorder="1">
      <alignment horizontal="left"/>
    </xf>
    <xf numFmtId="171" fontId="0" fillId="0" borderId="0" xfId="0" applyNumberFormat="1" applyFont="1"/>
    <xf numFmtId="171" fontId="0" fillId="4" borderId="0" xfId="0" applyNumberFormat="1" applyFont="1" applyFill="1"/>
    <xf numFmtId="171" fontId="0" fillId="9" borderId="0" xfId="0" applyNumberFormat="1" applyFont="1" applyFill="1"/>
    <xf numFmtId="169" fontId="29" fillId="2" borderId="0" xfId="5" applyFont="1" applyFill="1" applyBorder="1">
      <alignment horizontal="left"/>
    </xf>
    <xf numFmtId="169" fontId="28" fillId="2" borderId="0" xfId="5" applyFont="1" applyFill="1" applyBorder="1">
      <alignment horizontal="left"/>
    </xf>
    <xf numFmtId="171" fontId="0" fillId="2" borderId="0" xfId="0" applyNumberFormat="1" applyFont="1" applyFill="1"/>
    <xf numFmtId="171" fontId="0" fillId="7" borderId="0" xfId="0" applyNumberFormat="1" applyFont="1" applyFill="1"/>
    <xf numFmtId="171" fontId="0" fillId="5" borderId="0" xfId="0" applyNumberFormat="1" applyFont="1" applyFill="1"/>
    <xf numFmtId="171" fontId="0" fillId="6" borderId="0" xfId="0" applyNumberFormat="1" applyFont="1" applyFill="1"/>
    <xf numFmtId="171" fontId="0" fillId="3" borderId="0" xfId="0" applyNumberFormat="1" applyFont="1" applyFill="1"/>
    <xf numFmtId="0" fontId="0" fillId="4" borderId="0" xfId="0" applyFont="1" applyFill="1"/>
    <xf numFmtId="3" fontId="0" fillId="7" borderId="0" xfId="0" applyNumberFormat="1" applyFont="1" applyFill="1"/>
    <xf numFmtId="3" fontId="0" fillId="9" borderId="0" xfId="0" applyNumberFormat="1" applyFont="1" applyFill="1"/>
    <xf numFmtId="171" fontId="62" fillId="4" borderId="0" xfId="6" applyNumberFormat="1" applyFont="1" applyFill="1" applyBorder="1">
      <protection locked="0"/>
    </xf>
    <xf numFmtId="171" fontId="62" fillId="9" borderId="0" xfId="6" applyNumberFormat="1" applyFont="1" applyFill="1" applyBorder="1">
      <protection locked="0"/>
    </xf>
    <xf numFmtId="0" fontId="0" fillId="0" borderId="0" xfId="0" applyFont="1" applyFill="1" applyBorder="1"/>
    <xf numFmtId="173" fontId="0" fillId="4" borderId="0" xfId="0" applyNumberFormat="1" applyFont="1" applyFill="1" applyBorder="1"/>
    <xf numFmtId="173" fontId="0" fillId="9" borderId="0" xfId="0" applyNumberFormat="1" applyFont="1" applyFill="1" applyBorder="1"/>
    <xf numFmtId="171" fontId="0" fillId="0" borderId="0" xfId="0" applyNumberFormat="1" applyFont="1" applyFill="1" applyBorder="1"/>
    <xf numFmtId="174" fontId="0" fillId="4" borderId="0" xfId="0" applyNumberFormat="1" applyFont="1" applyFill="1" applyBorder="1"/>
    <xf numFmtId="174" fontId="0" fillId="9" borderId="0" xfId="0" applyNumberFormat="1" applyFont="1" applyFill="1" applyBorder="1"/>
    <xf numFmtId="171" fontId="78" fillId="9" borderId="0" xfId="0" applyNumberFormat="1" applyFont="1" applyFill="1"/>
    <xf numFmtId="10" fontId="20" fillId="7" borderId="0" xfId="2" applyNumberFormat="1" applyFont="1" applyFill="1" applyBorder="1"/>
    <xf numFmtId="10" fontId="20" fillId="9" borderId="0" xfId="2" applyNumberFormat="1" applyFont="1" applyFill="1" applyBorder="1"/>
    <xf numFmtId="3" fontId="78" fillId="4" borderId="0" xfId="0" applyNumberFormat="1" applyFont="1" applyFill="1"/>
  </cellXfs>
  <cellStyles count="19">
    <cellStyle name="Čárka" xfId="1" builtinId="3"/>
    <cellStyle name="Hypertextový odkaz 2" xfId="10" xr:uid="{C1A4393A-DC17-4533-ABD7-5572233A79BB}"/>
    <cellStyle name="Normální" xfId="0" builtinId="0"/>
    <cellStyle name="Normální 2" xfId="9" xr:uid="{987E16ED-5E8C-474B-8ABF-9CA565E4E4AF}"/>
    <cellStyle name="Procenta" xfId="2" builtinId="5"/>
    <cellStyle name="Procenta 2" xfId="11" xr:uid="{EF4467A8-763F-4C25-A7C2-A9ED2A3927A8}"/>
    <cellStyle name="Procenta 3" xfId="12" xr:uid="{F5949AB7-6BD0-4C09-B56D-7485334914DD}"/>
    <cellStyle name="STCisRadku1" xfId="13" xr:uid="{FF938B6B-277A-4888-9F06-6FE82594588E}"/>
    <cellStyle name="STCisRadku2" xfId="14" xr:uid="{E31C6844-E922-4917-BBCD-9FDC543D8B9E}"/>
    <cellStyle name="STCisRadku3" xfId="15" xr:uid="{21187D56-BF8A-47BE-8E86-84386695B5E6}"/>
    <cellStyle name="STCisRadku4" xfId="16" xr:uid="{E5189C45-F909-42A0-ADF8-433F0B9BD622}"/>
    <cellStyle name="STEdit" xfId="6" xr:uid="{D5E80D80-BBF0-46AD-9C6E-2DE9218728F2}"/>
    <cellStyle name="STNazRadku1" xfId="7" xr:uid="{4FD1FEBE-060F-417C-9592-8276C7711FCC}"/>
    <cellStyle name="STNazRadku2" xfId="5" xr:uid="{27661536-B86F-4473-AB07-616CF848E54D}"/>
    <cellStyle name="STNonEdit" xfId="8" xr:uid="{3EFCD8FF-9878-426A-A077-26AC2B960D25}"/>
    <cellStyle name="STNonEdit2" xfId="17" xr:uid="{CA0DD692-1B95-40D0-90E6-49A3ADE12F3B}"/>
    <cellStyle name="STNormální" xfId="18" xr:uid="{91FAABCE-FF74-47C7-93F5-87110A90FD2D}"/>
    <cellStyle name="STPopis1" xfId="3" xr:uid="{DDD45448-45BC-4C38-AAF7-5D4B449EC302}"/>
    <cellStyle name="STPopis2b" xfId="4" xr:uid="{0907E399-AC51-4FBE-91EF-701BA71DA36F}"/>
  </cellStyles>
  <dxfs count="0"/>
  <tableStyles count="0" defaultTableStyle="TableStyleMedium2" defaultPivotStyle="PivotStyleLight16"/>
  <colors>
    <mruColors>
      <color rgb="FFCCCC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Vývoj</a:t>
            </a:r>
            <a:r>
              <a:rPr lang="cs-CZ" baseline="0"/>
              <a:t> aktiv společnosti XXX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'H+V analýza'!$C$5</c:f>
              <c:strCache>
                <c:ptCount val="1"/>
                <c:pt idx="0">
                  <c:v>Aktiva celkem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'H+V analýza'!$B$6:$B$10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'H+V analýza'!$C$6:$C$10</c:f>
              <c:numCache>
                <c:formatCode>#\ ##0\ "Kč"</c:formatCode>
                <c:ptCount val="5"/>
                <c:pt idx="0">
                  <c:v>539585.80000000005</c:v>
                </c:pt>
                <c:pt idx="1">
                  <c:v>647959</c:v>
                </c:pt>
                <c:pt idx="2">
                  <c:v>655325</c:v>
                </c:pt>
                <c:pt idx="3">
                  <c:v>668252</c:v>
                </c:pt>
                <c:pt idx="4">
                  <c:v>730790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07-4BC7-AA39-CB57FE43B082}"/>
            </c:ext>
          </c:extLst>
        </c:ser>
        <c:ser>
          <c:idx val="2"/>
          <c:order val="1"/>
          <c:tx>
            <c:strRef>
              <c:f>'H+V analýza'!$D$5</c:f>
              <c:strCache>
                <c:ptCount val="1"/>
                <c:pt idx="0">
                  <c:v>Dlouhodobý majetek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'H+V analýza'!$B$6:$B$10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'H+V analýza'!$D$6:$D$10</c:f>
              <c:numCache>
                <c:formatCode>#\ ##0\ "Kč"</c:formatCode>
                <c:ptCount val="5"/>
                <c:pt idx="0">
                  <c:v>372118.4</c:v>
                </c:pt>
                <c:pt idx="1">
                  <c:v>438968</c:v>
                </c:pt>
                <c:pt idx="2">
                  <c:v>434654</c:v>
                </c:pt>
                <c:pt idx="3">
                  <c:v>427756</c:v>
                </c:pt>
                <c:pt idx="4">
                  <c:v>460694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07-4BC7-AA39-CB57FE43B082}"/>
            </c:ext>
          </c:extLst>
        </c:ser>
        <c:ser>
          <c:idx val="3"/>
          <c:order val="2"/>
          <c:tx>
            <c:strRef>
              <c:f>'H+V analýza'!$E$5</c:f>
              <c:strCache>
                <c:ptCount val="1"/>
                <c:pt idx="0">
                  <c:v>Oběžný majetek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'H+V analýza'!$B$6:$B$10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'H+V analýza'!$E$6:$E$10</c:f>
              <c:numCache>
                <c:formatCode>#\ ##0\ "Kč"</c:formatCode>
                <c:ptCount val="5"/>
                <c:pt idx="0">
                  <c:v>165317.4</c:v>
                </c:pt>
                <c:pt idx="1">
                  <c:v>205243</c:v>
                </c:pt>
                <c:pt idx="2">
                  <c:v>217469</c:v>
                </c:pt>
                <c:pt idx="3">
                  <c:v>231458</c:v>
                </c:pt>
                <c:pt idx="4">
                  <c:v>256210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07-4BC7-AA39-CB57FE43B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0831759"/>
        <c:axId val="1400834255"/>
      </c:lineChart>
      <c:catAx>
        <c:axId val="1400831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00834255"/>
        <c:crosses val="autoZero"/>
        <c:auto val="1"/>
        <c:lblAlgn val="ctr"/>
        <c:lblOffset val="100"/>
        <c:noMultiLvlLbl val="0"/>
      </c:catAx>
      <c:valAx>
        <c:axId val="140083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Kč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00831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Závislost trhu na HDP</a:t>
            </a:r>
          </a:p>
        </c:rich>
      </c:tx>
      <c:layout>
        <c:manualLayout>
          <c:xMode val="edge"/>
          <c:yMode val="edge"/>
          <c:x val="1.8469656992084433E-2"/>
          <c:y val="1.83150345643414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01058502353158"/>
          <c:y val="0.21245497243794517"/>
          <c:w val="0.67810113747776013"/>
          <c:h val="0.54212648139337738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018486601574483"/>
                  <c:y val="-0.21978091029584038"/>
                </c:manualLayout>
              </c:layout>
              <c:numFmt formatCode="General" sourceLinked="0"/>
              <c:spPr>
                <a:solidFill>
                  <a:srgbClr val="FFFF99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trendlineLbl>
          </c:trendline>
          <c:xVal>
            <c:numRef>
              <c:f>'[1]3 Regrese - SP lin'!$C$5:$C$25</c:f>
              <c:numCache>
                <c:formatCode>General</c:formatCode>
                <c:ptCount val="21"/>
                <c:pt idx="0">
                  <c:v>769.5</c:v>
                </c:pt>
                <c:pt idx="1">
                  <c:v>892</c:v>
                </c:pt>
                <c:pt idx="2">
                  <c:v>997.4</c:v>
                </c:pt>
                <c:pt idx="3">
                  <c:v>1075.0999999999999</c:v>
                </c:pt>
                <c:pt idx="4">
                  <c:v>1132.9000000000001</c:v>
                </c:pt>
                <c:pt idx="5">
                  <c:v>1191.0999999999999</c:v>
                </c:pt>
                <c:pt idx="6">
                  <c:v>1270.0999999999999</c:v>
                </c:pt>
                <c:pt idx="7">
                  <c:v>1325.4</c:v>
                </c:pt>
                <c:pt idx="8">
                  <c:v>1390.4</c:v>
                </c:pt>
                <c:pt idx="9">
                  <c:v>1481.5</c:v>
                </c:pt>
                <c:pt idx="10">
                  <c:v>1544.7</c:v>
                </c:pt>
                <c:pt idx="11">
                  <c:v>1631</c:v>
                </c:pt>
                <c:pt idx="12">
                  <c:v>1749.5</c:v>
                </c:pt>
                <c:pt idx="13">
                  <c:v>1887</c:v>
                </c:pt>
                <c:pt idx="14">
                  <c:v>1890.9</c:v>
                </c:pt>
                <c:pt idx="15">
                  <c:v>1919.9</c:v>
                </c:pt>
                <c:pt idx="16">
                  <c:v>1952</c:v>
                </c:pt>
                <c:pt idx="17">
                  <c:v>1970.4</c:v>
                </c:pt>
                <c:pt idx="18">
                  <c:v>1996.6</c:v>
                </c:pt>
                <c:pt idx="19">
                  <c:v>2044.3</c:v>
                </c:pt>
                <c:pt idx="20">
                  <c:v>2109.5</c:v>
                </c:pt>
              </c:numCache>
            </c:numRef>
          </c:xVal>
          <c:yVal>
            <c:numRef>
              <c:f>'[1]3 Regrese - SP lin'!$B$5:$B$25</c:f>
              <c:numCache>
                <c:formatCode>General</c:formatCode>
                <c:ptCount val="21"/>
                <c:pt idx="0">
                  <c:v>205.220527535</c:v>
                </c:pt>
                <c:pt idx="1">
                  <c:v>232.79688650400001</c:v>
                </c:pt>
                <c:pt idx="2">
                  <c:v>250.01787313</c:v>
                </c:pt>
                <c:pt idx="3">
                  <c:v>265.66100411500003</c:v>
                </c:pt>
                <c:pt idx="4">
                  <c:v>262.15957808000002</c:v>
                </c:pt>
                <c:pt idx="5">
                  <c:v>265.36956999900002</c:v>
                </c:pt>
                <c:pt idx="6">
                  <c:v>277.93443532800001</c:v>
                </c:pt>
                <c:pt idx="7">
                  <c:v>280.52128499999998</c:v>
                </c:pt>
                <c:pt idx="8">
                  <c:v>285.901269275</c:v>
                </c:pt>
                <c:pt idx="9">
                  <c:v>292.50999933399999</c:v>
                </c:pt>
                <c:pt idx="10">
                  <c:v>298.40565453599999</c:v>
                </c:pt>
                <c:pt idx="11">
                  <c:v>318.77935830000001</c:v>
                </c:pt>
                <c:pt idx="12">
                  <c:v>334.38286477700001</c:v>
                </c:pt>
                <c:pt idx="13">
                  <c:v>363.53734435199999</c:v>
                </c:pt>
                <c:pt idx="14">
                  <c:v>376.18293715200002</c:v>
                </c:pt>
                <c:pt idx="15">
                  <c:v>368.08261050599998</c:v>
                </c:pt>
                <c:pt idx="16">
                  <c:v>370.31209148800002</c:v>
                </c:pt>
                <c:pt idx="17">
                  <c:v>385.34398976199998</c:v>
                </c:pt>
                <c:pt idx="18">
                  <c:v>392.73301543500003</c:v>
                </c:pt>
                <c:pt idx="19">
                  <c:v>401.75201667599998</c:v>
                </c:pt>
                <c:pt idx="20">
                  <c:v>403.96336567200001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77-4C39-919A-65DB5150B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230080"/>
        <c:axId val="293232000"/>
      </c:scatterChart>
      <c:valAx>
        <c:axId val="293230080"/>
        <c:scaling>
          <c:orientation val="minMax"/>
          <c:min val="50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Spotřeba domácností b.c. (mld. Kč)</a:t>
                </a:r>
              </a:p>
            </c:rich>
          </c:tx>
          <c:layout>
            <c:manualLayout>
              <c:xMode val="edge"/>
              <c:yMode val="edge"/>
              <c:x val="0.25945525938545283"/>
              <c:y val="0.858212265720306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93232000"/>
        <c:crosses val="autoZero"/>
        <c:crossBetween val="midCat"/>
      </c:valAx>
      <c:valAx>
        <c:axId val="293232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Trh (mld. Kč)     .</a:t>
                </a:r>
              </a:p>
            </c:rich>
          </c:tx>
          <c:layout>
            <c:manualLayout>
              <c:xMode val="edge"/>
              <c:yMode val="edge"/>
              <c:x val="3.6939313984168873E-2"/>
              <c:y val="0.30036745406824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932300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89" l="0.78740157499999996" r="0.78740157499999996" t="0.98425196899999989" header="0.49212598450000006" footer="0.49212598450000006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Vývoj pasiv společnosti XXX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'H+V analýza'!$C$20</c:f>
              <c:strCache>
                <c:ptCount val="1"/>
                <c:pt idx="0">
                  <c:v>Pasiva celkem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'H+V analýza'!$B$21:$B$25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'H+V analýza'!$C$21:$C$25</c:f>
              <c:numCache>
                <c:formatCode>#\ ##0\ "Kč"</c:formatCode>
                <c:ptCount val="5"/>
                <c:pt idx="0">
                  <c:v>539586</c:v>
                </c:pt>
                <c:pt idx="1">
                  <c:v>647959</c:v>
                </c:pt>
                <c:pt idx="2">
                  <c:v>655325</c:v>
                </c:pt>
                <c:pt idx="3">
                  <c:v>668252</c:v>
                </c:pt>
                <c:pt idx="4">
                  <c:v>730790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4D-4816-957E-6A2D1FB96A88}"/>
            </c:ext>
          </c:extLst>
        </c:ser>
        <c:ser>
          <c:idx val="2"/>
          <c:order val="1"/>
          <c:tx>
            <c:strRef>
              <c:f>'H+V analýza'!$D$20</c:f>
              <c:strCache>
                <c:ptCount val="1"/>
                <c:pt idx="0">
                  <c:v>Vlastní kapitál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'H+V analýza'!$B$21:$B$25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'H+V analýza'!$D$21:$D$25</c:f>
              <c:numCache>
                <c:formatCode>#\ ##0\ "Kč"</c:formatCode>
                <c:ptCount val="5"/>
                <c:pt idx="0">
                  <c:v>260130</c:v>
                </c:pt>
                <c:pt idx="1">
                  <c:v>279089</c:v>
                </c:pt>
                <c:pt idx="2">
                  <c:v>280087</c:v>
                </c:pt>
                <c:pt idx="3">
                  <c:v>306936</c:v>
                </c:pt>
                <c:pt idx="4">
                  <c:v>342904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4D-4816-957E-6A2D1FB96A88}"/>
            </c:ext>
          </c:extLst>
        </c:ser>
        <c:ser>
          <c:idx val="3"/>
          <c:order val="2"/>
          <c:tx>
            <c:strRef>
              <c:f>'H+V analýza'!$E$20</c:f>
              <c:strCache>
                <c:ptCount val="1"/>
                <c:pt idx="0">
                  <c:v>Cizí kapitál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'H+V analýza'!$B$21:$B$25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'H+V analýza'!$E$21:$E$25</c:f>
              <c:numCache>
                <c:formatCode>#\ ##0\ "Kč"</c:formatCode>
                <c:ptCount val="5"/>
                <c:pt idx="0">
                  <c:v>249412</c:v>
                </c:pt>
                <c:pt idx="1">
                  <c:v>333900</c:v>
                </c:pt>
                <c:pt idx="2">
                  <c:v>355658</c:v>
                </c:pt>
                <c:pt idx="3">
                  <c:v>347742</c:v>
                </c:pt>
                <c:pt idx="4">
                  <c:v>375970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4D-4816-957E-6A2D1FB96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666351"/>
        <c:axId val="1497652623"/>
      </c:lineChart>
      <c:catAx>
        <c:axId val="1497666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7652623"/>
        <c:crosses val="autoZero"/>
        <c:auto val="1"/>
        <c:lblAlgn val="ctr"/>
        <c:lblOffset val="100"/>
        <c:noMultiLvlLbl val="0"/>
      </c:catAx>
      <c:valAx>
        <c:axId val="1497652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Kč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7666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Vývoj VH před zdaněním společnosti XXX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'H+V analýza'!$B$36:$C$36</c:f>
              <c:strCache>
                <c:ptCount val="1"/>
                <c:pt idx="0">
                  <c:v>Vývoj výsledku hospodaření před zdaněním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'H+V analýza'!$B$37:$B$41</c15:sqref>
                  </c15:fullRef>
                </c:ext>
              </c:extLst>
              <c:f>'H+V analýza'!$B$37:$B$40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'H+V analýza'!$C$37:$C$41</c15:sqref>
                  </c15:fullRef>
                </c:ext>
              </c:extLst>
              <c:f>'H+V analýza'!$C$37:$C$40</c:f>
              <c:numCache>
                <c:formatCode>#\ ##0\ "Kč"</c:formatCode>
                <c:ptCount val="4"/>
                <c:pt idx="0">
                  <c:v>24703</c:v>
                </c:pt>
                <c:pt idx="1">
                  <c:v>28960</c:v>
                </c:pt>
                <c:pt idx="2">
                  <c:v>12998</c:v>
                </c:pt>
                <c:pt idx="3">
                  <c:v>41849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2E-4BD5-B645-DD97208E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625999"/>
        <c:axId val="1497643471"/>
      </c:lineChart>
      <c:catAx>
        <c:axId val="1497625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7643471"/>
        <c:crosses val="autoZero"/>
        <c:auto val="1"/>
        <c:lblAlgn val="ctr"/>
        <c:lblOffset val="100"/>
        <c:noMultiLvlLbl val="0"/>
      </c:catAx>
      <c:valAx>
        <c:axId val="1497643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Kč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7625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Vývoj poměrových ukazatelů společnosti XXX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'Poměrové ukazatele'!$B$12</c:f>
              <c:strCache>
                <c:ptCount val="1"/>
                <c:pt idx="0">
                  <c:v>ROA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ukazatele'!$C$10:$G$10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ukazatele'!$C$12:$G$12</c:f>
              <c:numCache>
                <c:formatCode>0.00%</c:formatCode>
                <c:ptCount val="5"/>
                <c:pt idx="0">
                  <c:v>9.9270588662637146E-2</c:v>
                </c:pt>
                <c:pt idx="1">
                  <c:v>9.1541285791230623E-2</c:v>
                </c:pt>
                <c:pt idx="2">
                  <c:v>5.7246404455804374E-2</c:v>
                </c:pt>
                <c:pt idx="3">
                  <c:v>0.10074492855988459</c:v>
                </c:pt>
                <c:pt idx="4">
                  <c:v>0.10220993719125877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BF-4CE1-A670-EC5C269CAA0A}"/>
            </c:ext>
          </c:extLst>
        </c:ser>
        <c:ser>
          <c:idx val="2"/>
          <c:order val="1"/>
          <c:tx>
            <c:strRef>
              <c:f>'Poměrové ukazatele'!$B$13</c:f>
              <c:strCache>
                <c:ptCount val="1"/>
                <c:pt idx="0">
                  <c:v>ROE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ukazatele'!$C$10:$G$10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ukazatele'!$C$13:$G$13</c:f>
              <c:numCache>
                <c:formatCode>0.00%</c:formatCode>
                <c:ptCount val="5"/>
                <c:pt idx="0">
                  <c:v>9.49640564333218E-2</c:v>
                </c:pt>
                <c:pt idx="1">
                  <c:v>0.10376618211394931</c:v>
                </c:pt>
                <c:pt idx="2">
                  <c:v>4.6407009250697108E-2</c:v>
                </c:pt>
                <c:pt idx="3">
                  <c:v>0.13634438449709385</c:v>
                </c:pt>
                <c:pt idx="4">
                  <c:v>0.15155262114177728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F-4CE1-A670-EC5C269CAA0A}"/>
            </c:ext>
          </c:extLst>
        </c:ser>
        <c:ser>
          <c:idx val="3"/>
          <c:order val="2"/>
          <c:tx>
            <c:strRef>
              <c:f>'Poměrové ukazatele'!$B$14</c:f>
              <c:strCache>
                <c:ptCount val="1"/>
                <c:pt idx="0">
                  <c:v>ROCE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ukazatele'!$C$10:$G$10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ukazatele'!$C$14:$G$14</c:f>
              <c:numCache>
                <c:formatCode>0.00%</c:formatCode>
                <c:ptCount val="5"/>
                <c:pt idx="0">
                  <c:v>0.15243060871505248</c:v>
                </c:pt>
                <c:pt idx="1">
                  <c:v>0.14360977074249023</c:v>
                </c:pt>
                <c:pt idx="2">
                  <c:v>8.9527555109024826E-2</c:v>
                </c:pt>
                <c:pt idx="3">
                  <c:v>0.15261210777579806</c:v>
                </c:pt>
                <c:pt idx="4">
                  <c:v>0.15134274286686847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BF-4CE1-A670-EC5C269CAA0A}"/>
            </c:ext>
          </c:extLst>
        </c:ser>
        <c:ser>
          <c:idx val="4"/>
          <c:order val="3"/>
          <c:tx>
            <c:strRef>
              <c:f>'Poměrové ukazatele'!$B$15</c:f>
              <c:strCache>
                <c:ptCount val="1"/>
                <c:pt idx="0">
                  <c:v>ROS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ukazatele'!$C$10:$G$10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ukazatele'!$C$15:$G$15</c:f>
              <c:numCache>
                <c:formatCode>0.00%</c:formatCode>
                <c:ptCount val="5"/>
                <c:pt idx="0">
                  <c:v>1.7160795886355142E-2</c:v>
                </c:pt>
                <c:pt idx="1">
                  <c:v>1.6390009790993417E-2</c:v>
                </c:pt>
                <c:pt idx="2">
                  <c:v>7.0964578858692152E-3</c:v>
                </c:pt>
                <c:pt idx="3">
                  <c:v>2.2101492903059534E-2</c:v>
                </c:pt>
                <c:pt idx="4">
                  <c:v>2.5289081334022398E-2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F-4CE1-A670-EC5C269CA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2498655"/>
        <c:axId val="1652521119"/>
      </c:lineChart>
      <c:catAx>
        <c:axId val="1652498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52521119"/>
        <c:crosses val="autoZero"/>
        <c:auto val="1"/>
        <c:lblAlgn val="ctr"/>
        <c:lblOffset val="100"/>
        <c:noMultiLvlLbl val="0"/>
      </c:catAx>
      <c:valAx>
        <c:axId val="1652521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52498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1905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Vývoj</a:t>
            </a:r>
            <a:r>
              <a:rPr lang="cs-CZ" baseline="0"/>
              <a:t> obratu aktiv, dlouhodobého majetku a zásob společnosti XXX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'Poměrové ukazatele'!$A$52:$B$52</c:f>
              <c:strCache>
                <c:ptCount val="2"/>
                <c:pt idx="0">
                  <c:v>Obrat aktiv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ukazatele'!$C$51:$G$51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ukazatele'!$C$52:$G$52</c:f>
              <c:numCache>
                <c:formatCode>0</c:formatCode>
                <c:ptCount val="5"/>
                <c:pt idx="0">
                  <c:v>2.6677907387481286</c:v>
                </c:pt>
                <c:pt idx="1">
                  <c:v>2.7269163635353473</c:v>
                </c:pt>
                <c:pt idx="2">
                  <c:v>2.7949765383588296</c:v>
                </c:pt>
                <c:pt idx="3">
                  <c:v>2.8334999371494587</c:v>
                </c:pt>
                <c:pt idx="4">
                  <c:v>2.8119678703868418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B0-4525-97F1-EB3F0F4AC803}"/>
            </c:ext>
          </c:extLst>
        </c:ser>
        <c:ser>
          <c:idx val="1"/>
          <c:order val="1"/>
          <c:tx>
            <c:strRef>
              <c:f>'Poměrové ukazatele'!$A$54:$B$54</c:f>
              <c:strCache>
                <c:ptCount val="2"/>
                <c:pt idx="0">
                  <c:v>Obrat zásob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ukazatele'!$C$51:$G$51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ukazatele'!$C$54:$G$54</c:f>
              <c:numCache>
                <c:formatCode>0</c:formatCode>
                <c:ptCount val="5"/>
                <c:pt idx="0">
                  <c:v>13.237238198230012</c:v>
                </c:pt>
                <c:pt idx="1">
                  <c:v>12.837142732596154</c:v>
                </c:pt>
                <c:pt idx="2">
                  <c:v>13.226779705079506</c:v>
                </c:pt>
                <c:pt idx="3">
                  <c:v>13.394063720219568</c:v>
                </c:pt>
                <c:pt idx="4">
                  <c:v>14.049265731397162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B0-4525-97F1-EB3F0F4AC803}"/>
            </c:ext>
          </c:extLst>
        </c:ser>
        <c:ser>
          <c:idx val="2"/>
          <c:order val="2"/>
          <c:tx>
            <c:strRef>
              <c:f>'Poměrové ukazatele'!$A$53:$B$53</c:f>
              <c:strCache>
                <c:ptCount val="2"/>
                <c:pt idx="0">
                  <c:v>Obrat dlouhodobého majetku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ukazatele'!$C$51:$G$51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ukazatele'!$C$53:$G$53</c:f>
              <c:numCache>
                <c:formatCode>0</c:formatCode>
                <c:ptCount val="5"/>
                <c:pt idx="0">
                  <c:v>3.8683978002700212</c:v>
                </c:pt>
                <c:pt idx="1">
                  <c:v>4.0251909022981174</c:v>
                </c:pt>
                <c:pt idx="2">
                  <c:v>4.2139678917023655</c:v>
                </c:pt>
                <c:pt idx="3">
                  <c:v>4.4265702877341289</c:v>
                </c:pt>
                <c:pt idx="4">
                  <c:v>4.4605703568963344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85-41A0-9F04-4D964EE96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659279"/>
        <c:axId val="1497653871"/>
      </c:lineChart>
      <c:catAx>
        <c:axId val="1497659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7653871"/>
        <c:crosses val="autoZero"/>
        <c:auto val="1"/>
        <c:lblAlgn val="ctr"/>
        <c:lblOffset val="100"/>
        <c:noMultiLvlLbl val="0"/>
      </c:catAx>
      <c:valAx>
        <c:axId val="149765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7659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Vývoj ukazatelů likvidity společnosti XXX</a:t>
            </a:r>
          </a:p>
          <a:p>
            <a:pPr>
              <a:defRPr/>
            </a:pP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'Poměrové ukazatele'!$A$83:$B$83</c:f>
              <c:strCache>
                <c:ptCount val="2"/>
                <c:pt idx="0">
                  <c:v>Běžná likvidita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ukazatele'!$C$82:$G$82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ukazatele'!$C$83:$G$83</c:f>
              <c:numCache>
                <c:formatCode>0.00</c:formatCode>
                <c:ptCount val="5"/>
                <c:pt idx="0">
                  <c:v>0.87850674885747682</c:v>
                </c:pt>
                <c:pt idx="1">
                  <c:v>0.87363469969778229</c:v>
                </c:pt>
                <c:pt idx="2">
                  <c:v>0.92034008768811471</c:v>
                </c:pt>
                <c:pt idx="3">
                  <c:v>1.0191269582676541</c:v>
                </c:pt>
                <c:pt idx="4">
                  <c:v>1.0799248044240626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D7-483F-A5AF-5F1F7B0184E9}"/>
            </c:ext>
          </c:extLst>
        </c:ser>
        <c:ser>
          <c:idx val="1"/>
          <c:order val="1"/>
          <c:tx>
            <c:strRef>
              <c:f>'Poměrové ukazatele'!$A$84:$B$84</c:f>
              <c:strCache>
                <c:ptCount val="2"/>
                <c:pt idx="0">
                  <c:v>Pohotová likvidia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ukazatele'!$C$82:$G$82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ukazatele'!$C$84:$G$84</c:f>
              <c:numCache>
                <c:formatCode>0.00</c:formatCode>
                <c:ptCount val="5"/>
                <c:pt idx="0">
                  <c:v>0.10402922368265645</c:v>
                </c:pt>
                <c:pt idx="1">
                  <c:v>0.13687051002537617</c:v>
                </c:pt>
                <c:pt idx="2">
                  <c:v>0.17999665961474223</c:v>
                </c:pt>
                <c:pt idx="3">
                  <c:v>0.22297136347159649</c:v>
                </c:pt>
                <c:pt idx="4">
                  <c:v>0.25312571605048967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D7-483F-A5AF-5F1F7B0184E9}"/>
            </c:ext>
          </c:extLst>
        </c:ser>
        <c:ser>
          <c:idx val="2"/>
          <c:order val="2"/>
          <c:tx>
            <c:strRef>
              <c:f>'Poměrové ukazatele'!$A$85:$B$85</c:f>
              <c:strCache>
                <c:ptCount val="2"/>
                <c:pt idx="0">
                  <c:v>Hotovostní likdivida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ukazatele'!$C$82:$G$82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ukazatele'!$C$85:$G$85</c:f>
              <c:numCache>
                <c:formatCode>0.00</c:formatCode>
                <c:ptCount val="5"/>
                <c:pt idx="0">
                  <c:v>6.5527686257838239E-2</c:v>
                </c:pt>
                <c:pt idx="1">
                  <c:v>9.7803601072659938E-2</c:v>
                </c:pt>
                <c:pt idx="2">
                  <c:v>0.13682646894520339</c:v>
                </c:pt>
                <c:pt idx="3">
                  <c:v>0.18958760798541702</c:v>
                </c:pt>
                <c:pt idx="4">
                  <c:v>0.21418937145940115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D7-483F-A5AF-5F1F7B018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112559"/>
        <c:axId val="292115887"/>
      </c:lineChart>
      <c:catAx>
        <c:axId val="292112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2115887"/>
        <c:crosses val="autoZero"/>
        <c:auto val="1"/>
        <c:lblAlgn val="ctr"/>
        <c:lblOffset val="100"/>
        <c:noMultiLvlLbl val="0"/>
      </c:catAx>
      <c:valAx>
        <c:axId val="292115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2112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Vývoj ukazatelů zadluženosti společnosti XXX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'Poměrové ukazatele'!$A$110:$B$110</c:f>
              <c:strCache>
                <c:ptCount val="2"/>
                <c:pt idx="0">
                  <c:v>Míra zadlužení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ukazatele'!$C$109:$G$109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ukazatele'!$C$110:$G$110</c:f>
              <c:numCache>
                <c:formatCode>0%</c:formatCode>
                <c:ptCount val="5"/>
                <c:pt idx="0">
                  <c:v>0.95879752431476573</c:v>
                </c:pt>
                <c:pt idx="1">
                  <c:v>1.1963925486135247</c:v>
                </c:pt>
                <c:pt idx="2">
                  <c:v>1.2698125939440246</c:v>
                </c:pt>
                <c:pt idx="3">
                  <c:v>1.1329462819610603</c:v>
                </c:pt>
                <c:pt idx="4">
                  <c:v>1.0964293213260854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D4-4AEC-A5DF-AD6D30D00DC0}"/>
            </c:ext>
          </c:extLst>
        </c:ser>
        <c:ser>
          <c:idx val="1"/>
          <c:order val="1"/>
          <c:tx>
            <c:strRef>
              <c:f>'Poměrové ukazatele'!$A$111:$B$111</c:f>
              <c:strCache>
                <c:ptCount val="2"/>
                <c:pt idx="0">
                  <c:v>Celková zadluženost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ukazatele'!$C$109:$G$109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ukazatele'!$C$111:$G$111</c:f>
              <c:numCache>
                <c:formatCode>0%</c:formatCode>
                <c:ptCount val="5"/>
                <c:pt idx="0">
                  <c:v>0.46222862054561104</c:v>
                </c:pt>
                <c:pt idx="1">
                  <c:v>0.51531038229270676</c:v>
                </c:pt>
                <c:pt idx="2">
                  <c:v>0.54272002441536638</c:v>
                </c:pt>
                <c:pt idx="3">
                  <c:v>0.5203755469493544</c:v>
                </c:pt>
                <c:pt idx="4">
                  <c:v>0.51447064136071918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D4-4AEC-A5DF-AD6D30D00DC0}"/>
            </c:ext>
          </c:extLst>
        </c:ser>
        <c:ser>
          <c:idx val="3"/>
          <c:order val="3"/>
          <c:tx>
            <c:strRef>
              <c:f>'Poměrové ukazatele'!$A$113:$B$113</c:f>
              <c:strCache>
                <c:ptCount val="2"/>
                <c:pt idx="0">
                  <c:v>Ukazatel zadluženosti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'Poměrové ukazatele'!$C$109:$G$109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'Poměrové ukazatele'!$C$113:$G$113</c:f>
              <c:numCache>
                <c:formatCode>0.00</c:formatCode>
                <c:ptCount val="5"/>
                <c:pt idx="0">
                  <c:v>0.48209200464504437</c:v>
                </c:pt>
                <c:pt idx="1">
                  <c:v>0.43072015358996479</c:v>
                </c:pt>
                <c:pt idx="2">
                  <c:v>0.42740167092663944</c:v>
                </c:pt>
                <c:pt idx="3">
                  <c:v>0.45931175664270363</c:v>
                </c:pt>
                <c:pt idx="4">
                  <c:v>0.46922371679962782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EE-4DF5-93E0-303A4842A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8211919"/>
        <c:axId val="2108213583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'Poměrové ukazatele'!$A$112:$B$112</c15:sqref>
                        </c15:formulaRef>
                      </c:ext>
                    </c:extLst>
                    <c:strCache>
                      <c:ptCount val="2"/>
                      <c:pt idx="0">
                        <c:v>Úrokové krytí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'Poměrové ukazatele'!$C$109:$G$109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2012</c:v>
                      </c:pt>
                      <c:pt idx="1">
                        <c:v>2013</c:v>
                      </c:pt>
                      <c:pt idx="2">
                        <c:v>2014</c:v>
                      </c:pt>
                      <c:pt idx="3">
                        <c:v>2015</c:v>
                      </c:pt>
                      <c:pt idx="4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'Poměrové ukazatele'!$C$112:$G$112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3.3220478585052886</c:v>
                      </c:pt>
                      <c:pt idx="1">
                        <c:v>3.5174008997538411</c:v>
                      </c:pt>
                      <c:pt idx="2">
                        <c:v>2.7474846282839573</c:v>
                      </c:pt>
                      <c:pt idx="3">
                        <c:v>5.2995912632520117</c:v>
                      </c:pt>
                      <c:pt idx="4">
                        <c:v>8.0894077448747161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5DD4-4AEC-A5DF-AD6D30D00DC0}"/>
                  </c:ext>
                </c:extLst>
              </c15:ser>
            </c15:filteredLineSeries>
          </c:ext>
        </c:extLst>
      </c:lineChart>
      <c:catAx>
        <c:axId val="210821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08213583"/>
        <c:crosses val="autoZero"/>
        <c:auto val="1"/>
        <c:lblAlgn val="ctr"/>
        <c:lblOffset val="100"/>
        <c:noMultiLvlLbl val="0"/>
      </c:catAx>
      <c:valAx>
        <c:axId val="210821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08211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Srovnání alternativních prognóz trhu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Trh ČR - skutečnost</c:v>
          </c:tx>
          <c:spPr>
            <a:ln w="19050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'Vnější potenciál'!$A$6:$A$32</c:f>
              <c:numCache>
                <c:formatCode>General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'Vnější potenciál'!$H$6:$H$26</c:f>
              <c:numCache>
                <c:formatCode>#\ ##0.0</c:formatCode>
                <c:ptCount val="21"/>
                <c:pt idx="0">
                  <c:v>205.220527535</c:v>
                </c:pt>
                <c:pt idx="1">
                  <c:v>232.79688650400001</c:v>
                </c:pt>
                <c:pt idx="2">
                  <c:v>250.01787313</c:v>
                </c:pt>
                <c:pt idx="3">
                  <c:v>265.66100411500003</c:v>
                </c:pt>
                <c:pt idx="4">
                  <c:v>262.15957808000002</c:v>
                </c:pt>
                <c:pt idx="5">
                  <c:v>265.36956999900002</c:v>
                </c:pt>
                <c:pt idx="6">
                  <c:v>277.93443532800001</c:v>
                </c:pt>
                <c:pt idx="7">
                  <c:v>280.52128499999998</c:v>
                </c:pt>
                <c:pt idx="8">
                  <c:v>285.901269275</c:v>
                </c:pt>
                <c:pt idx="9">
                  <c:v>292.50999933399999</c:v>
                </c:pt>
                <c:pt idx="10">
                  <c:v>298.40565453599999</c:v>
                </c:pt>
                <c:pt idx="11">
                  <c:v>318.77935830000001</c:v>
                </c:pt>
                <c:pt idx="12">
                  <c:v>334.38286477700001</c:v>
                </c:pt>
                <c:pt idx="13">
                  <c:v>363.53734435199999</c:v>
                </c:pt>
                <c:pt idx="14">
                  <c:v>376.18293715200002</c:v>
                </c:pt>
                <c:pt idx="15">
                  <c:v>368.08261050599998</c:v>
                </c:pt>
                <c:pt idx="16">
                  <c:v>370.31209148800002</c:v>
                </c:pt>
                <c:pt idx="17">
                  <c:v>385.34398976199998</c:v>
                </c:pt>
                <c:pt idx="18">
                  <c:v>392.73301543500003</c:v>
                </c:pt>
                <c:pt idx="19">
                  <c:v>401.75201667599998</c:v>
                </c:pt>
                <c:pt idx="20">
                  <c:v>403.96336567200001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26-42DB-8B7C-C8104208280B}"/>
            </c:ext>
          </c:extLst>
        </c:ser>
        <c:ser>
          <c:idx val="1"/>
          <c:order val="1"/>
          <c:tx>
            <c:v>Čas - lineární</c:v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'Vnější potenciál'!$A$6:$A$32</c:f>
              <c:numCache>
                <c:formatCode>General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'Vnější potenciál'!$K$6:$K$32</c:f>
              <c:numCache>
                <c:formatCode>#\ ##0.0</c:formatCode>
                <c:ptCount val="27"/>
                <c:pt idx="0">
                  <c:v>219.48657843696967</c:v>
                </c:pt>
                <c:pt idx="1">
                  <c:v>229.11681429306319</c:v>
                </c:pt>
                <c:pt idx="2">
                  <c:v>238.74705014915668</c:v>
                </c:pt>
                <c:pt idx="3">
                  <c:v>248.3772860052502</c:v>
                </c:pt>
                <c:pt idx="4">
                  <c:v>258.00752186134372</c:v>
                </c:pt>
                <c:pt idx="5">
                  <c:v>267.63775771743718</c:v>
                </c:pt>
                <c:pt idx="6">
                  <c:v>277.2679935735307</c:v>
                </c:pt>
                <c:pt idx="7">
                  <c:v>286.89822942962422</c:v>
                </c:pt>
                <c:pt idx="8">
                  <c:v>296.52846528571774</c:v>
                </c:pt>
                <c:pt idx="9">
                  <c:v>306.15870114181121</c:v>
                </c:pt>
                <c:pt idx="10">
                  <c:v>315.78893699790473</c:v>
                </c:pt>
                <c:pt idx="11">
                  <c:v>325.41917285399825</c:v>
                </c:pt>
                <c:pt idx="12">
                  <c:v>335.04940871009171</c:v>
                </c:pt>
                <c:pt idx="13">
                  <c:v>344.67964456618523</c:v>
                </c:pt>
                <c:pt idx="14">
                  <c:v>354.30988042227875</c:v>
                </c:pt>
                <c:pt idx="15">
                  <c:v>363.94011627837222</c:v>
                </c:pt>
                <c:pt idx="16">
                  <c:v>373.57035213446574</c:v>
                </c:pt>
                <c:pt idx="17">
                  <c:v>383.20058799055926</c:v>
                </c:pt>
                <c:pt idx="18">
                  <c:v>392.83082384665272</c:v>
                </c:pt>
                <c:pt idx="19">
                  <c:v>402.4610597027463</c:v>
                </c:pt>
                <c:pt idx="20">
                  <c:v>412.09129555883976</c:v>
                </c:pt>
                <c:pt idx="21">
                  <c:v>421.72153141493328</c:v>
                </c:pt>
                <c:pt idx="22">
                  <c:v>431.3517672710268</c:v>
                </c:pt>
                <c:pt idx="23">
                  <c:v>440.98200312712027</c:v>
                </c:pt>
                <c:pt idx="24">
                  <c:v>450.61223898321379</c:v>
                </c:pt>
                <c:pt idx="25">
                  <c:v>460.24247483930731</c:v>
                </c:pt>
                <c:pt idx="26">
                  <c:v>469.87271069540077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26-42DB-8B7C-C8104208280B}"/>
            </c:ext>
          </c:extLst>
        </c:ser>
        <c:ser>
          <c:idx val="2"/>
          <c:order val="2"/>
          <c:tx>
            <c:v>SD - exponenciální</c:v>
          </c:tx>
          <c:spPr>
            <a:ln w="19050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'Vnější potenciál'!$A$6:$A$32</c:f>
              <c:numCache>
                <c:formatCode>General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'Vnější potenciál'!$M$6:$M$32</c:f>
              <c:numCache>
                <c:formatCode>#\ ##0.0</c:formatCode>
                <c:ptCount val="27"/>
                <c:pt idx="0">
                  <c:v>217.34732925947642</c:v>
                </c:pt>
                <c:pt idx="1">
                  <c:v>230.07758914852243</c:v>
                </c:pt>
                <c:pt idx="2">
                  <c:v>241.62597328667519</c:v>
                </c:pt>
                <c:pt idx="3">
                  <c:v>250.50890326548992</c:v>
                </c:pt>
                <c:pt idx="4">
                  <c:v>257.32795841483789</c:v>
                </c:pt>
                <c:pt idx="5">
                  <c:v>264.38176745525487</c:v>
                </c:pt>
                <c:pt idx="6">
                  <c:v>274.26689232378988</c:v>
                </c:pt>
                <c:pt idx="7">
                  <c:v>281.40557974450883</c:v>
                </c:pt>
                <c:pt idx="8">
                  <c:v>290.03435544093514</c:v>
                </c:pt>
                <c:pt idx="9">
                  <c:v>302.57501259471996</c:v>
                </c:pt>
                <c:pt idx="10">
                  <c:v>311.59219259332644</c:v>
                </c:pt>
                <c:pt idx="11">
                  <c:v>324.34078391838693</c:v>
                </c:pt>
                <c:pt idx="12">
                  <c:v>342.70022380634532</c:v>
                </c:pt>
                <c:pt idx="13">
                  <c:v>365.30981267851092</c:v>
                </c:pt>
                <c:pt idx="14">
                  <c:v>365.97240706000821</c:v>
                </c:pt>
                <c:pt idx="15">
                  <c:v>370.93723166176466</c:v>
                </c:pt>
                <c:pt idx="16">
                  <c:v>376.51135472386835</c:v>
                </c:pt>
                <c:pt idx="17">
                  <c:v>379.74417818516025</c:v>
                </c:pt>
                <c:pt idx="18">
                  <c:v>384.39539803065179</c:v>
                </c:pt>
                <c:pt idx="19">
                  <c:v>393.01022432162756</c:v>
                </c:pt>
                <c:pt idx="20">
                  <c:v>405.0987919537227</c:v>
                </c:pt>
                <c:pt idx="21">
                  <c:v>420.47965506829593</c:v>
                </c:pt>
                <c:pt idx="22">
                  <c:v>441.52342184016857</c:v>
                </c:pt>
                <c:pt idx="23">
                  <c:v>463.23276897295534</c:v>
                </c:pt>
                <c:pt idx="24">
                  <c:v>485.96438401906971</c:v>
                </c:pt>
                <c:pt idx="25">
                  <c:v>510.85483873491381</c:v>
                </c:pt>
                <c:pt idx="26">
                  <c:v>538.19421159104627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26-42DB-8B7C-C8104208280B}"/>
            </c:ext>
          </c:extLst>
        </c:ser>
        <c:ser>
          <c:idx val="3"/>
          <c:order val="3"/>
          <c:tx>
            <c:v>SD - lineární</c:v>
          </c:tx>
          <c:spPr>
            <a:ln w="19050" cap="rnd" cmpd="sng" algn="ctr">
              <a:solidFill>
                <a:schemeClr val="accent2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'Vnější potenciál'!$A$6:$A$32</c:f>
              <c:numCache>
                <c:formatCode>General</c:formatCode>
                <c:ptCount val="2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</c:numCache>
            </c:numRef>
          </c:cat>
          <c:val>
            <c:numRef>
              <c:f>'Vnější potenciál'!$O$6:$O$32</c:f>
              <c:numCache>
                <c:formatCode>#\ ##0.0</c:formatCode>
                <c:ptCount val="27"/>
                <c:pt idx="0">
                  <c:v>206.86731451270052</c:v>
                </c:pt>
                <c:pt idx="1">
                  <c:v>224.31259576208183</c:v>
                </c:pt>
                <c:pt idx="2">
                  <c:v>239.32265815950868</c:v>
                </c:pt>
                <c:pt idx="3">
                  <c:v>250.38795083768767</c:v>
                </c:pt>
                <c:pt idx="4">
                  <c:v>258.61927537821214</c:v>
                </c:pt>
                <c:pt idx="5">
                  <c:v>266.90756410240795</c:v>
                </c:pt>
                <c:pt idx="6">
                  <c:v>278.15799037751913</c:v>
                </c:pt>
                <c:pt idx="7">
                  <c:v>286.03328877009704</c:v>
                </c:pt>
                <c:pt idx="8">
                  <c:v>295.28996861670754</c:v>
                </c:pt>
                <c:pt idx="9">
                  <c:v>308.26356144788008</c:v>
                </c:pt>
                <c:pt idx="10">
                  <c:v>317.26390246796905</c:v>
                </c:pt>
                <c:pt idx="11">
                  <c:v>329.5539250950842</c:v>
                </c:pt>
                <c:pt idx="12">
                  <c:v>346.42956450775102</c:v>
                </c:pt>
                <c:pt idx="13">
                  <c:v>366.0110026448117</c:v>
                </c:pt>
                <c:pt idx="14">
                  <c:v>366.56640343560832</c:v>
                </c:pt>
                <c:pt idx="15">
                  <c:v>370.69630675178837</c:v>
                </c:pt>
                <c:pt idx="16">
                  <c:v>375.26768249142219</c:v>
                </c:pt>
                <c:pt idx="17">
                  <c:v>377.88803494030884</c:v>
                </c:pt>
                <c:pt idx="18">
                  <c:v>381.61918897078874</c:v>
                </c:pt>
                <c:pt idx="19">
                  <c:v>388.41216787360906</c:v>
                </c:pt>
                <c:pt idx="20">
                  <c:v>397.69732981205527</c:v>
                </c:pt>
                <c:pt idx="21">
                  <c:v>409.11864863818084</c:v>
                </c:pt>
                <c:pt idx="22">
                  <c:v>424.08598789785412</c:v>
                </c:pt>
                <c:pt idx="23">
                  <c:v>438.79698833100588</c:v>
                </c:pt>
                <c:pt idx="24">
                  <c:v>453.47950667232186</c:v>
                </c:pt>
                <c:pt idx="25">
                  <c:v>468.78863103402387</c:v>
                </c:pt>
                <c:pt idx="26">
                  <c:v>484.7670845538654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26-42DB-8B7C-C81042082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3121024"/>
        <c:axId val="293339904"/>
      </c:lineChart>
      <c:catAx>
        <c:axId val="29312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93339904"/>
        <c:crosses val="autoZero"/>
        <c:auto val="1"/>
        <c:lblAlgn val="ctr"/>
        <c:lblOffset val="100"/>
        <c:noMultiLvlLbl val="0"/>
      </c:catAx>
      <c:valAx>
        <c:axId val="2933399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/>
                  <a:t>Velikost trhu ČR (mld. Kč)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cs-CZ"/>
            </a:p>
          </c:txPr>
        </c:title>
        <c:numFmt formatCode="#\ ##0.0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93121024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1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Závislost trhu na čase</a:t>
            </a:r>
          </a:p>
        </c:rich>
      </c:tx>
      <c:layout>
        <c:manualLayout>
          <c:xMode val="edge"/>
          <c:yMode val="edge"/>
          <c:x val="0.19715002566827905"/>
          <c:y val="4.36363863068185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377697003155852"/>
          <c:y val="0.21454545454545459"/>
          <c:w val="0.71971579910624706"/>
          <c:h val="0.6363636363636364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22243874477496928"/>
                  <c:y val="-0.2"/>
                </c:manualLayout>
              </c:layout>
              <c:numFmt formatCode="0.000" sourceLinked="0"/>
              <c:spPr>
                <a:solidFill>
                  <a:srgbClr val="FFFF99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</c:trendlineLbl>
          </c:trendline>
          <c:xVal>
            <c:numRef>
              <c:f>'[1]1 Regrese - Čas lin'!$C$5:$C$25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'[1]1 Regrese - Čas lin'!$B$5:$B$25</c:f>
              <c:numCache>
                <c:formatCode>General</c:formatCode>
                <c:ptCount val="21"/>
                <c:pt idx="0">
                  <c:v>205.220527535</c:v>
                </c:pt>
                <c:pt idx="1">
                  <c:v>232.79688650400001</c:v>
                </c:pt>
                <c:pt idx="2">
                  <c:v>250.01787313</c:v>
                </c:pt>
                <c:pt idx="3">
                  <c:v>265.66100411500003</c:v>
                </c:pt>
                <c:pt idx="4">
                  <c:v>262.15957808000002</c:v>
                </c:pt>
                <c:pt idx="5">
                  <c:v>265.36956999900002</c:v>
                </c:pt>
                <c:pt idx="6">
                  <c:v>277.93443532800001</c:v>
                </c:pt>
                <c:pt idx="7">
                  <c:v>280.52128499999998</c:v>
                </c:pt>
                <c:pt idx="8">
                  <c:v>285.901269275</c:v>
                </c:pt>
                <c:pt idx="9">
                  <c:v>292.50999933399999</c:v>
                </c:pt>
                <c:pt idx="10">
                  <c:v>298.40565453599999</c:v>
                </c:pt>
                <c:pt idx="11">
                  <c:v>318.77935830000001</c:v>
                </c:pt>
                <c:pt idx="12">
                  <c:v>334.38286477700001</c:v>
                </c:pt>
                <c:pt idx="13">
                  <c:v>363.53734435199999</c:v>
                </c:pt>
                <c:pt idx="14">
                  <c:v>376.18293715200002</c:v>
                </c:pt>
                <c:pt idx="15">
                  <c:v>368.08261050599998</c:v>
                </c:pt>
                <c:pt idx="16">
                  <c:v>370.31209148800002</c:v>
                </c:pt>
                <c:pt idx="17">
                  <c:v>385.34398976199998</c:v>
                </c:pt>
                <c:pt idx="18">
                  <c:v>392.73301543500003</c:v>
                </c:pt>
                <c:pt idx="19">
                  <c:v>401.75201667599998</c:v>
                </c:pt>
                <c:pt idx="20">
                  <c:v>403.96336567200001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C7-44F2-8848-75697A1A4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789440"/>
        <c:axId val="291808000"/>
      </c:scatterChart>
      <c:valAx>
        <c:axId val="2917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Pořadové číslo roku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91808000"/>
        <c:crosses val="autoZero"/>
        <c:crossBetween val="midCat"/>
      </c:valAx>
      <c:valAx>
        <c:axId val="29180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Trh za ČR (mld. Kč)</a:t>
                </a:r>
              </a:p>
            </c:rich>
          </c:tx>
          <c:layout>
            <c:manualLayout>
              <c:xMode val="edge"/>
              <c:yMode val="edge"/>
              <c:x val="4.7505838629675425E-2"/>
              <c:y val="0.34545445477272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917894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89" l="0.78740157499999996" r="0.78740157499999996" t="0.98425196899999989" header="0.49212598450000006" footer="0.4921259845000000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412750</xdr:colOff>
      <xdr:row>2</xdr:row>
      <xdr:rowOff>157691</xdr:rowOff>
    </xdr:from>
    <xdr:to>
      <xdr:col>13</xdr:col>
      <xdr:colOff>61916</xdr:colOff>
      <xdr:row>13</xdr:row>
      <xdr:rowOff>92891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4EEF5DD6-A259-4F4E-B186-F55FA9D7A9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402166</xdr:colOff>
      <xdr:row>17</xdr:row>
      <xdr:rowOff>157691</xdr:rowOff>
    </xdr:from>
    <xdr:to>
      <xdr:col>13</xdr:col>
      <xdr:colOff>51332</xdr:colOff>
      <xdr:row>28</xdr:row>
      <xdr:rowOff>92891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52CEF10A-1B10-4D52-8A8D-5867D8800B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21167</xdr:colOff>
      <xdr:row>35</xdr:row>
      <xdr:rowOff>51857</xdr:rowOff>
    </xdr:from>
    <xdr:to>
      <xdr:col>11</xdr:col>
      <xdr:colOff>358251</xdr:colOff>
      <xdr:row>44</xdr:row>
      <xdr:rowOff>145807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9B6A9CD9-CBC5-46A4-9886-C252E81126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17</xdr:row>
      <xdr:rowOff>33338</xdr:rowOff>
    </xdr:from>
    <xdr:to>
      <xdr:col>7</xdr:col>
      <xdr:colOff>306656</xdr:colOff>
      <xdr:row>28</xdr:row>
      <xdr:rowOff>159038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49FA5D7-00AD-45BD-A6B2-B00A5CD9DE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527182</xdr:colOff>
      <xdr:row>60</xdr:row>
      <xdr:rowOff>169597</xdr:rowOff>
    </xdr:from>
    <xdr:to>
      <xdr:col>7</xdr:col>
      <xdr:colOff>345682</xdr:colOff>
      <xdr:row>72</xdr:row>
      <xdr:rowOff>104797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FDDDD570-0A45-4D8D-8758-D2798459BA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458389</xdr:colOff>
      <xdr:row>87</xdr:row>
      <xdr:rowOff>73025</xdr:rowOff>
    </xdr:from>
    <xdr:to>
      <xdr:col>7</xdr:col>
      <xdr:colOff>276889</xdr:colOff>
      <xdr:row>99</xdr:row>
      <xdr:rowOff>8225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EE3E4465-ED1B-4CEC-ADAE-15533DE54A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468975</xdr:colOff>
      <xdr:row>116</xdr:row>
      <xdr:rowOff>114034</xdr:rowOff>
    </xdr:from>
    <xdr:to>
      <xdr:col>7</xdr:col>
      <xdr:colOff>287475</xdr:colOff>
      <xdr:row>128</xdr:row>
      <xdr:rowOff>49234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31F9DDA3-1610-49FD-B32D-D235325566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10</xdr:col>
      <xdr:colOff>28575</xdr:colOff>
      <xdr:row>8</xdr:row>
      <xdr:rowOff>152400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EF9F4CD5-012F-472C-9FC1-B926F1543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875" y="3962400"/>
          <a:ext cx="6381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10</xdr:row>
      <xdr:rowOff>0</xdr:rowOff>
    </xdr:from>
    <xdr:to>
      <xdr:col>10</xdr:col>
      <xdr:colOff>66675</xdr:colOff>
      <xdr:row>10</xdr:row>
      <xdr:rowOff>152400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3071ED99-C7A9-4718-B160-4D5F025C2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1924050"/>
          <a:ext cx="13906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12</xdr:row>
      <xdr:rowOff>0</xdr:rowOff>
    </xdr:from>
    <xdr:to>
      <xdr:col>9</xdr:col>
      <xdr:colOff>581025</xdr:colOff>
      <xdr:row>12</xdr:row>
      <xdr:rowOff>152400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D87AF720-91E3-41BB-91DC-9B887836C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875" y="5857875"/>
          <a:ext cx="581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14</xdr:row>
      <xdr:rowOff>0</xdr:rowOff>
    </xdr:from>
    <xdr:to>
      <xdr:col>9</xdr:col>
      <xdr:colOff>485775</xdr:colOff>
      <xdr:row>14</xdr:row>
      <xdr:rowOff>152400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2C473CB0-E25E-42EC-8450-C6D74DB9B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875" y="6505575"/>
          <a:ext cx="4857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16</xdr:row>
      <xdr:rowOff>0</xdr:rowOff>
    </xdr:from>
    <xdr:to>
      <xdr:col>9</xdr:col>
      <xdr:colOff>485775</xdr:colOff>
      <xdr:row>16</xdr:row>
      <xdr:rowOff>152400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6E1DD4F1-A9C7-4A74-9407-7D4C00306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875" y="6991350"/>
          <a:ext cx="4857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18</xdr:row>
      <xdr:rowOff>0</xdr:rowOff>
    </xdr:from>
    <xdr:to>
      <xdr:col>9</xdr:col>
      <xdr:colOff>485775</xdr:colOff>
      <xdr:row>18</xdr:row>
      <xdr:rowOff>152400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CA9B4-71AE-4F35-9543-B404F8ACE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875" y="7639050"/>
          <a:ext cx="4857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20</xdr:row>
      <xdr:rowOff>0</xdr:rowOff>
    </xdr:from>
    <xdr:to>
      <xdr:col>9</xdr:col>
      <xdr:colOff>523875</xdr:colOff>
      <xdr:row>20</xdr:row>
      <xdr:rowOff>152400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241CFF2-8F24-4229-91F8-95F919A9D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875" y="8286750"/>
          <a:ext cx="5238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43</xdr:row>
      <xdr:rowOff>0</xdr:rowOff>
    </xdr:from>
    <xdr:to>
      <xdr:col>9</xdr:col>
      <xdr:colOff>609600</xdr:colOff>
      <xdr:row>43</xdr:row>
      <xdr:rowOff>152400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7E301001-2E54-4BF4-8A6F-DC728EF21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2792075"/>
          <a:ext cx="6096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45</xdr:row>
      <xdr:rowOff>0</xdr:rowOff>
    </xdr:from>
    <xdr:to>
      <xdr:col>9</xdr:col>
      <xdr:colOff>552450</xdr:colOff>
      <xdr:row>45</xdr:row>
      <xdr:rowOff>152400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C513C155-D1FD-4AF0-83E6-4A3842AF7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3182600"/>
          <a:ext cx="552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47</xdr:row>
      <xdr:rowOff>0</xdr:rowOff>
    </xdr:from>
    <xdr:to>
      <xdr:col>9</xdr:col>
      <xdr:colOff>790575</xdr:colOff>
      <xdr:row>47</xdr:row>
      <xdr:rowOff>152400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E0300BA0-F473-4984-9DFD-2C1422E0B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3573125"/>
          <a:ext cx="7905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73</xdr:row>
      <xdr:rowOff>0</xdr:rowOff>
    </xdr:from>
    <xdr:to>
      <xdr:col>10</xdr:col>
      <xdr:colOff>19050</xdr:colOff>
      <xdr:row>73</xdr:row>
      <xdr:rowOff>152400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A0D6689C-3EC2-41D4-A662-95A8D1A4B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92350" y="23383875"/>
          <a:ext cx="6286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75</xdr:row>
      <xdr:rowOff>0</xdr:rowOff>
    </xdr:from>
    <xdr:to>
      <xdr:col>10</xdr:col>
      <xdr:colOff>142875</xdr:colOff>
      <xdr:row>75</xdr:row>
      <xdr:rowOff>152400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8F9CA053-29E0-41C1-87E6-AE7FAC876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92350" y="23774400"/>
          <a:ext cx="7524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77</xdr:row>
      <xdr:rowOff>0</xdr:rowOff>
    </xdr:from>
    <xdr:to>
      <xdr:col>10</xdr:col>
      <xdr:colOff>66675</xdr:colOff>
      <xdr:row>77</xdr:row>
      <xdr:rowOff>152400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C664FDE2-D7C7-4157-B2DE-665EAF92B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92350" y="24174450"/>
          <a:ext cx="6762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54</xdr:row>
      <xdr:rowOff>0</xdr:rowOff>
    </xdr:from>
    <xdr:to>
      <xdr:col>9</xdr:col>
      <xdr:colOff>790575</xdr:colOff>
      <xdr:row>54</xdr:row>
      <xdr:rowOff>152400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AAFE1EB0-678D-4E56-96B2-A7FD8A661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7240250"/>
          <a:ext cx="7905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56</xdr:row>
      <xdr:rowOff>0</xdr:rowOff>
    </xdr:from>
    <xdr:to>
      <xdr:col>9</xdr:col>
      <xdr:colOff>1047750</xdr:colOff>
      <xdr:row>56</xdr:row>
      <xdr:rowOff>152400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9DC8E549-B09B-4516-ADC1-3B5E1306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7630775"/>
          <a:ext cx="10477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58</xdr:row>
      <xdr:rowOff>0</xdr:rowOff>
    </xdr:from>
    <xdr:to>
      <xdr:col>9</xdr:col>
      <xdr:colOff>952500</xdr:colOff>
      <xdr:row>58</xdr:row>
      <xdr:rowOff>152400</xdr:rowOff>
    </xdr:to>
    <xdr:pic>
      <xdr:nvPicPr>
        <xdr:cNvPr id="32" name="Obrázek 31">
          <a:extLst>
            <a:ext uri="{FF2B5EF4-FFF2-40B4-BE49-F238E27FC236}">
              <a16:creationId xmlns:a16="http://schemas.microsoft.com/office/drawing/2014/main" id="{CCF4F8E1-70FF-4151-A9D1-18EB51E73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8021300"/>
          <a:ext cx="952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60</xdr:row>
      <xdr:rowOff>0</xdr:rowOff>
    </xdr:from>
    <xdr:to>
      <xdr:col>9</xdr:col>
      <xdr:colOff>1019175</xdr:colOff>
      <xdr:row>60</xdr:row>
      <xdr:rowOff>152400</xdr:rowOff>
    </xdr:to>
    <xdr:pic>
      <xdr:nvPicPr>
        <xdr:cNvPr id="33" name="Obrázek 32">
          <a:extLst>
            <a:ext uri="{FF2B5EF4-FFF2-40B4-BE49-F238E27FC236}">
              <a16:creationId xmlns:a16="http://schemas.microsoft.com/office/drawing/2014/main" id="{77BA39FD-6A85-4F74-B6F5-3CA8BF509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8411825"/>
          <a:ext cx="10191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62</xdr:row>
      <xdr:rowOff>0</xdr:rowOff>
    </xdr:from>
    <xdr:to>
      <xdr:col>9</xdr:col>
      <xdr:colOff>942975</xdr:colOff>
      <xdr:row>62</xdr:row>
      <xdr:rowOff>152400</xdr:rowOff>
    </xdr:to>
    <xdr:pic>
      <xdr:nvPicPr>
        <xdr:cNvPr id="34" name="Obrázek 33">
          <a:extLst>
            <a:ext uri="{FF2B5EF4-FFF2-40B4-BE49-F238E27FC236}">
              <a16:creationId xmlns:a16="http://schemas.microsoft.com/office/drawing/2014/main" id="{4EC0D31B-67E0-464C-AE5B-90ADEC64B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8802350"/>
          <a:ext cx="9429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142877</xdr:colOff>
      <xdr:row>41</xdr:row>
      <xdr:rowOff>57150</xdr:rowOff>
    </xdr:from>
    <xdr:to>
      <xdr:col>17</xdr:col>
      <xdr:colOff>438150</xdr:colOff>
      <xdr:row>44</xdr:row>
      <xdr:rowOff>66675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DED2F016-7F31-474D-B008-237125113C0E}"/>
            </a:ext>
          </a:extLst>
        </xdr:cNvPr>
        <xdr:cNvSpPr txBox="1">
          <a:spLocks noChangeArrowheads="1"/>
        </xdr:cNvSpPr>
      </xdr:nvSpPr>
      <xdr:spPr bwMode="auto">
        <a:xfrm>
          <a:off x="7581902" y="6867525"/>
          <a:ext cx="1314448" cy="514350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1" i="0" u="none" strike="noStrike" baseline="0">
              <a:solidFill>
                <a:sysClr val="windowText" lastClr="000000"/>
              </a:solidFill>
              <a:latin typeface="Arial CE"/>
            </a:rPr>
            <a:t>Zvolená funkce pro prognózu trhu (tempa růstu)</a:t>
          </a:r>
        </a:p>
      </xdr:txBody>
    </xdr:sp>
    <xdr:clientData/>
  </xdr:twoCellAnchor>
  <xdr:twoCellAnchor>
    <xdr:from>
      <xdr:col>15</xdr:col>
      <xdr:colOff>200025</xdr:colOff>
      <xdr:row>40</xdr:row>
      <xdr:rowOff>0</xdr:rowOff>
    </xdr:from>
    <xdr:to>
      <xdr:col>15</xdr:col>
      <xdr:colOff>200025</xdr:colOff>
      <xdr:row>41</xdr:row>
      <xdr:rowOff>57150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CB2AC8A6-390D-47C1-9128-902C7279C46E}"/>
            </a:ext>
          </a:extLst>
        </xdr:cNvPr>
        <xdr:cNvSpPr>
          <a:spLocks noChangeShapeType="1"/>
        </xdr:cNvSpPr>
      </xdr:nvSpPr>
      <xdr:spPr bwMode="auto">
        <a:xfrm flipV="1">
          <a:off x="8220075" y="6648450"/>
          <a:ext cx="0" cy="219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617765</xdr:colOff>
      <xdr:row>52</xdr:row>
      <xdr:rowOff>77560</xdr:rowOff>
    </xdr:from>
    <xdr:to>
      <xdr:col>12</xdr:col>
      <xdr:colOff>245765</xdr:colOff>
      <xdr:row>66</xdr:row>
      <xdr:rowOff>12760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B8860F60-0C4E-47EF-A613-E0284E0D4D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419100</xdr:colOff>
      <xdr:row>71</xdr:row>
      <xdr:rowOff>190500</xdr:rowOff>
    </xdr:from>
    <xdr:to>
      <xdr:col>8</xdr:col>
      <xdr:colOff>257175</xdr:colOff>
      <xdr:row>91</xdr:row>
      <xdr:rowOff>114300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931C8D18-B7F1-4520-9810-4D82E59971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107156</xdr:colOff>
      <xdr:row>154</xdr:row>
      <xdr:rowOff>59532</xdr:rowOff>
    </xdr:from>
    <xdr:to>
      <xdr:col>9</xdr:col>
      <xdr:colOff>97631</xdr:colOff>
      <xdr:row>174</xdr:row>
      <xdr:rowOff>45244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1613011-1EF4-470D-9BFB-A74589C0B1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3985/Documents/UNIPO_2018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1 Regrese - Čas lin"/>
      <sheetName val="2 Regrese - SP exp"/>
      <sheetName val="3 Regrese - SP lin"/>
      <sheetName val="4 Vnější potenciál"/>
      <sheetName val="5 Vnitřní potenciál"/>
      <sheetName val="6 Tržby UNIPO"/>
      <sheetName val="7 Rozvaha"/>
      <sheetName val="8 Výsledovka"/>
      <sheetName val="9 Cash flow"/>
      <sheetName val="10 Struktura rozvahy"/>
      <sheetName val="11 Tempo rozvaha"/>
      <sheetName val="12 Struktura výsledovky"/>
      <sheetName val="13 Tempo výsledovka"/>
      <sheetName val="14 Ukazatele"/>
      <sheetName val="15 Rozdělení majektu"/>
      <sheetName val="16 Generátory"/>
      <sheetName val="17 Generátory - ocenění"/>
      <sheetName val="18 Plán"/>
      <sheetName val="19 nVK - CAPM"/>
      <sheetName val="20 nVK - Stavebnice"/>
      <sheetName val="21 WACC"/>
      <sheetName val="22 DCF"/>
      <sheetName val="23 EVA"/>
      <sheetName val="24 KČV"/>
      <sheetName val="25 Tržní porovnání"/>
      <sheetName val="26 Pohledávka"/>
      <sheetName val="27 Dluhopisy"/>
      <sheetName val="28 Souhrnné ocenění"/>
    </sheetNames>
    <sheetDataSet>
      <sheetData sheetId="0" refreshError="1"/>
      <sheetData sheetId="1" refreshError="1">
        <row r="5">
          <cell r="B5">
            <v>205.220527535</v>
          </cell>
          <cell r="C5">
            <v>1</v>
          </cell>
        </row>
        <row r="6">
          <cell r="B6">
            <v>232.79688650400001</v>
          </cell>
          <cell r="C6">
            <v>2</v>
          </cell>
        </row>
        <row r="7">
          <cell r="B7">
            <v>250.01787313</v>
          </cell>
          <cell r="C7">
            <v>3</v>
          </cell>
        </row>
        <row r="8">
          <cell r="B8">
            <v>265.66100411500003</v>
          </cell>
          <cell r="C8">
            <v>4</v>
          </cell>
        </row>
        <row r="9">
          <cell r="B9">
            <v>262.15957808000002</v>
          </cell>
          <cell r="C9">
            <v>5</v>
          </cell>
        </row>
        <row r="10">
          <cell r="B10">
            <v>265.36956999900002</v>
          </cell>
          <cell r="C10">
            <v>6</v>
          </cell>
        </row>
        <row r="11">
          <cell r="B11">
            <v>277.93443532800001</v>
          </cell>
          <cell r="C11">
            <v>7</v>
          </cell>
        </row>
        <row r="12">
          <cell r="B12">
            <v>280.52128499999998</v>
          </cell>
          <cell r="C12">
            <v>8</v>
          </cell>
        </row>
        <row r="13">
          <cell r="B13">
            <v>285.901269275</v>
          </cell>
          <cell r="C13">
            <v>9</v>
          </cell>
        </row>
        <row r="14">
          <cell r="B14">
            <v>292.50999933399999</v>
          </cell>
          <cell r="C14">
            <v>10</v>
          </cell>
        </row>
        <row r="15">
          <cell r="B15">
            <v>298.40565453599999</v>
          </cell>
          <cell r="C15">
            <v>11</v>
          </cell>
        </row>
        <row r="16">
          <cell r="B16">
            <v>318.77935830000001</v>
          </cell>
          <cell r="C16">
            <v>12</v>
          </cell>
        </row>
        <row r="17">
          <cell r="B17">
            <v>334.38286477700001</v>
          </cell>
          <cell r="C17">
            <v>13</v>
          </cell>
        </row>
        <row r="18">
          <cell r="B18">
            <v>363.53734435199999</v>
          </cell>
          <cell r="C18">
            <v>14</v>
          </cell>
        </row>
        <row r="19">
          <cell r="B19">
            <v>376.18293715200002</v>
          </cell>
          <cell r="C19">
            <v>15</v>
          </cell>
        </row>
        <row r="20">
          <cell r="B20">
            <v>368.08261050599998</v>
          </cell>
          <cell r="C20">
            <v>16</v>
          </cell>
        </row>
        <row r="21">
          <cell r="B21">
            <v>370.31209148800002</v>
          </cell>
          <cell r="C21">
            <v>17</v>
          </cell>
        </row>
        <row r="22">
          <cell r="B22">
            <v>385.34398976199998</v>
          </cell>
          <cell r="C22">
            <v>18</v>
          </cell>
        </row>
        <row r="23">
          <cell r="B23">
            <v>392.73301543500003</v>
          </cell>
          <cell r="C23">
            <v>19</v>
          </cell>
        </row>
        <row r="24">
          <cell r="B24">
            <v>401.75201667599998</v>
          </cell>
          <cell r="C24">
            <v>20</v>
          </cell>
        </row>
        <row r="25">
          <cell r="B25">
            <v>403.96336567200001</v>
          </cell>
          <cell r="C25">
            <v>21</v>
          </cell>
        </row>
      </sheetData>
      <sheetData sheetId="2" refreshError="1"/>
      <sheetData sheetId="3" refreshError="1">
        <row r="5">
          <cell r="B5">
            <v>205.220527535</v>
          </cell>
          <cell r="C5">
            <v>769.5</v>
          </cell>
        </row>
        <row r="6">
          <cell r="B6">
            <v>232.79688650400001</v>
          </cell>
          <cell r="C6">
            <v>892</v>
          </cell>
        </row>
        <row r="7">
          <cell r="B7">
            <v>250.01787313</v>
          </cell>
          <cell r="C7">
            <v>997.4</v>
          </cell>
        </row>
        <row r="8">
          <cell r="B8">
            <v>265.66100411500003</v>
          </cell>
          <cell r="C8">
            <v>1075.0999999999999</v>
          </cell>
        </row>
        <row r="9">
          <cell r="B9">
            <v>262.15957808000002</v>
          </cell>
          <cell r="C9">
            <v>1132.9000000000001</v>
          </cell>
        </row>
        <row r="10">
          <cell r="B10">
            <v>265.36956999900002</v>
          </cell>
          <cell r="C10">
            <v>1191.0999999999999</v>
          </cell>
        </row>
        <row r="11">
          <cell r="B11">
            <v>277.93443532800001</v>
          </cell>
          <cell r="C11">
            <v>1270.0999999999999</v>
          </cell>
        </row>
        <row r="12">
          <cell r="B12">
            <v>280.52128499999998</v>
          </cell>
          <cell r="C12">
            <v>1325.4</v>
          </cell>
        </row>
        <row r="13">
          <cell r="B13">
            <v>285.901269275</v>
          </cell>
          <cell r="C13">
            <v>1390.4</v>
          </cell>
        </row>
        <row r="14">
          <cell r="B14">
            <v>292.50999933399999</v>
          </cell>
          <cell r="C14">
            <v>1481.5</v>
          </cell>
        </row>
        <row r="15">
          <cell r="B15">
            <v>298.40565453599999</v>
          </cell>
          <cell r="C15">
            <v>1544.7</v>
          </cell>
        </row>
        <row r="16">
          <cell r="B16">
            <v>318.77935830000001</v>
          </cell>
          <cell r="C16">
            <v>1631</v>
          </cell>
        </row>
        <row r="17">
          <cell r="B17">
            <v>334.38286477700001</v>
          </cell>
          <cell r="C17">
            <v>1749.5</v>
          </cell>
        </row>
        <row r="18">
          <cell r="B18">
            <v>363.53734435199999</v>
          </cell>
          <cell r="C18">
            <v>1887</v>
          </cell>
        </row>
        <row r="19">
          <cell r="B19">
            <v>376.18293715200002</v>
          </cell>
          <cell r="C19">
            <v>1890.9</v>
          </cell>
        </row>
        <row r="20">
          <cell r="B20">
            <v>368.08261050599998</v>
          </cell>
          <cell r="C20">
            <v>1919.9</v>
          </cell>
        </row>
        <row r="21">
          <cell r="B21">
            <v>370.31209148800002</v>
          </cell>
          <cell r="C21">
            <v>1952</v>
          </cell>
        </row>
        <row r="22">
          <cell r="B22">
            <v>385.34398976199998</v>
          </cell>
          <cell r="C22">
            <v>1970.4</v>
          </cell>
        </row>
        <row r="23">
          <cell r="B23">
            <v>392.73301543500003</v>
          </cell>
          <cell r="C23">
            <v>1996.6</v>
          </cell>
        </row>
        <row r="24">
          <cell r="B24">
            <v>401.75201667599998</v>
          </cell>
          <cell r="C24">
            <v>2044.3</v>
          </cell>
        </row>
        <row r="25">
          <cell r="B25">
            <v>403.96336567200001</v>
          </cell>
          <cell r="C25">
            <v>2109.5</v>
          </cell>
        </row>
      </sheetData>
      <sheetData sheetId="4" refreshError="1"/>
      <sheetData sheetId="5" refreshError="1"/>
      <sheetData sheetId="6" refreshError="1"/>
      <sheetData sheetId="7" refreshError="1">
        <row r="3">
          <cell r="C3">
            <v>2012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7">
          <cell r="F7">
            <v>0.19</v>
          </cell>
        </row>
      </sheetData>
      <sheetData sheetId="19" refreshError="1">
        <row r="21">
          <cell r="B21">
            <v>0.11700000000000001</v>
          </cell>
        </row>
      </sheetData>
      <sheetData sheetId="20" refreshError="1">
        <row r="84">
          <cell r="D84">
            <v>0.12219357611224679</v>
          </cell>
        </row>
      </sheetData>
      <sheetData sheetId="21" refreshError="1"/>
      <sheetData sheetId="22" refreshError="1">
        <row r="35">
          <cell r="A35" t="str">
            <v>Odúročitel pro diskontní míru: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9374D-8253-413D-9CD7-390503B5E249}">
  <dimension ref="A1:G124"/>
  <sheetViews>
    <sheetView zoomScale="80" zoomScaleNormal="80" zoomScaleSheetLayoutView="70" workbookViewId="0">
      <selection activeCell="L27" sqref="L27"/>
    </sheetView>
  </sheetViews>
  <sheetFormatPr defaultRowHeight="15" x14ac:dyDescent="0.25"/>
  <cols>
    <col min="1" max="1" width="5.28515625" style="1" customWidth="1"/>
    <col min="2" max="2" width="37.28515625" style="1" customWidth="1"/>
    <col min="3" max="7" width="12.140625" customWidth="1"/>
  </cols>
  <sheetData>
    <row r="1" spans="1:7" s="4" customFormat="1" ht="12.75" x14ac:dyDescent="0.25">
      <c r="A1" s="3"/>
      <c r="B1" s="808" t="s">
        <v>1516</v>
      </c>
      <c r="C1" s="14">
        <v>2012</v>
      </c>
      <c r="D1" s="14">
        <v>2013</v>
      </c>
      <c r="E1" s="14">
        <v>2014</v>
      </c>
      <c r="F1" s="14">
        <v>2015</v>
      </c>
      <c r="G1" s="14">
        <v>2016</v>
      </c>
    </row>
    <row r="2" spans="1:7" x14ac:dyDescent="0.25">
      <c r="A2" s="8"/>
      <c r="B2" s="8" t="s">
        <v>0</v>
      </c>
      <c r="C2" s="17">
        <f>C3+C4+C32+C63</f>
        <v>539585.80000000005</v>
      </c>
      <c r="D2" s="17">
        <f t="shared" ref="D2:G2" si="0">D3+D4+D32+D63</f>
        <v>647959</v>
      </c>
      <c r="E2" s="17">
        <f>E3+E4+E32+E63</f>
        <v>655325</v>
      </c>
      <c r="F2" s="17">
        <f t="shared" si="0"/>
        <v>668252</v>
      </c>
      <c r="G2" s="17">
        <f t="shared" si="0"/>
        <v>730790</v>
      </c>
    </row>
    <row r="3" spans="1:7" x14ac:dyDescent="0.25">
      <c r="A3" s="7" t="s">
        <v>4</v>
      </c>
      <c r="B3" s="7" t="s">
        <v>1</v>
      </c>
      <c r="C3" s="18"/>
      <c r="D3" s="18"/>
      <c r="E3" s="18"/>
      <c r="F3" s="18"/>
      <c r="G3" s="18"/>
    </row>
    <row r="4" spans="1:7" x14ac:dyDescent="0.25">
      <c r="A4" s="7" t="s">
        <v>5</v>
      </c>
      <c r="B4" s="7" t="s">
        <v>2</v>
      </c>
      <c r="C4" s="18">
        <f>C5+C14+C24</f>
        <v>372118.4</v>
      </c>
      <c r="D4" s="18">
        <f t="shared" ref="D4:G4" si="1">D5+D14+D24</f>
        <v>438968</v>
      </c>
      <c r="E4" s="18">
        <f t="shared" si="1"/>
        <v>434654</v>
      </c>
      <c r="F4" s="18">
        <f t="shared" si="1"/>
        <v>427756</v>
      </c>
      <c r="G4" s="18">
        <f t="shared" si="1"/>
        <v>460694</v>
      </c>
    </row>
    <row r="5" spans="1:7" x14ac:dyDescent="0.25">
      <c r="A5" s="15" t="s">
        <v>6</v>
      </c>
      <c r="B5" s="15" t="s">
        <v>3</v>
      </c>
      <c r="C5" s="19">
        <f>SUM(C6:C13)</f>
        <v>648</v>
      </c>
      <c r="D5" s="19">
        <f t="shared" ref="D5:G5" si="2">SUM(D6:D13)</f>
        <v>992</v>
      </c>
      <c r="E5" s="19">
        <f t="shared" si="2"/>
        <v>1702</v>
      </c>
      <c r="F5" s="19">
        <f t="shared" si="2"/>
        <v>1874</v>
      </c>
      <c r="G5" s="19">
        <f t="shared" si="2"/>
        <v>2164</v>
      </c>
    </row>
    <row r="6" spans="1:7" x14ac:dyDescent="0.25">
      <c r="A6" s="6" t="s">
        <v>7</v>
      </c>
      <c r="B6" s="6" t="s">
        <v>15</v>
      </c>
      <c r="C6" s="20"/>
      <c r="D6" s="20"/>
      <c r="E6" s="20"/>
      <c r="F6" s="20"/>
      <c r="G6" s="20"/>
    </row>
    <row r="7" spans="1:7" x14ac:dyDescent="0.25">
      <c r="A7" s="6" t="s">
        <v>8</v>
      </c>
      <c r="B7" s="6" t="s">
        <v>16</v>
      </c>
      <c r="C7" s="20"/>
      <c r="D7" s="20"/>
      <c r="E7" s="20"/>
      <c r="F7" s="20"/>
      <c r="G7" s="20"/>
    </row>
    <row r="8" spans="1:7" x14ac:dyDescent="0.25">
      <c r="A8" s="6" t="s">
        <v>9</v>
      </c>
      <c r="B8" s="6" t="s">
        <v>17</v>
      </c>
      <c r="C8" s="20">
        <v>648</v>
      </c>
      <c r="D8" s="20">
        <v>992</v>
      </c>
      <c r="E8" s="20">
        <v>1702</v>
      </c>
      <c r="F8" s="20">
        <v>1874</v>
      </c>
      <c r="G8" s="20">
        <v>2164</v>
      </c>
    </row>
    <row r="9" spans="1:7" x14ac:dyDescent="0.25">
      <c r="A9" s="6" t="s">
        <v>10</v>
      </c>
      <c r="B9" s="6" t="s">
        <v>18</v>
      </c>
      <c r="C9" s="20"/>
      <c r="D9" s="20"/>
      <c r="E9" s="20"/>
      <c r="F9" s="20"/>
      <c r="G9" s="20"/>
    </row>
    <row r="10" spans="1:7" x14ac:dyDescent="0.25">
      <c r="A10" s="6" t="s">
        <v>11</v>
      </c>
      <c r="B10" s="6" t="s">
        <v>19</v>
      </c>
      <c r="C10" s="20"/>
      <c r="D10" s="20"/>
      <c r="E10" s="20"/>
      <c r="F10" s="20"/>
      <c r="G10" s="20"/>
    </row>
    <row r="11" spans="1:7" x14ac:dyDescent="0.25">
      <c r="A11" s="6" t="s">
        <v>12</v>
      </c>
      <c r="B11" s="6" t="s">
        <v>20</v>
      </c>
      <c r="C11" s="20"/>
      <c r="D11" s="20"/>
      <c r="E11" s="20"/>
      <c r="F11" s="20"/>
      <c r="G11" s="20"/>
    </row>
    <row r="12" spans="1:7" x14ac:dyDescent="0.25">
      <c r="A12" s="6" t="s">
        <v>13</v>
      </c>
      <c r="B12" s="6" t="s">
        <v>21</v>
      </c>
      <c r="C12" s="20"/>
      <c r="D12" s="20"/>
      <c r="E12" s="20"/>
      <c r="F12" s="20"/>
      <c r="G12" s="20"/>
    </row>
    <row r="13" spans="1:7" x14ac:dyDescent="0.25">
      <c r="A13" s="6" t="s">
        <v>14</v>
      </c>
      <c r="B13" s="6" t="s">
        <v>22</v>
      </c>
      <c r="C13" s="20"/>
      <c r="D13" s="20"/>
      <c r="E13" s="102"/>
      <c r="F13" s="102"/>
      <c r="G13" s="102"/>
    </row>
    <row r="14" spans="1:7" x14ac:dyDescent="0.25">
      <c r="A14" s="15" t="s">
        <v>24</v>
      </c>
      <c r="B14" s="15" t="s">
        <v>23</v>
      </c>
      <c r="C14" s="19">
        <f>SUM(C15:C23)</f>
        <v>370196.4</v>
      </c>
      <c r="D14" s="19">
        <f t="shared" ref="D14:G14" si="3">SUM(D15:D23)</f>
        <v>436702</v>
      </c>
      <c r="E14" s="19">
        <f t="shared" si="3"/>
        <v>431678</v>
      </c>
      <c r="F14" s="19">
        <f t="shared" si="3"/>
        <v>416608</v>
      </c>
      <c r="G14" s="19">
        <f t="shared" si="3"/>
        <v>450024</v>
      </c>
    </row>
    <row r="15" spans="1:7" x14ac:dyDescent="0.25">
      <c r="A15" s="6" t="s">
        <v>25</v>
      </c>
      <c r="B15" s="6" t="s">
        <v>34</v>
      </c>
      <c r="C15" s="20">
        <v>14524.4</v>
      </c>
      <c r="D15" s="20">
        <v>14524</v>
      </c>
      <c r="E15" s="20">
        <v>14524</v>
      </c>
      <c r="F15" s="20">
        <v>14524</v>
      </c>
      <c r="G15" s="20">
        <v>14524</v>
      </c>
    </row>
    <row r="16" spans="1:7" x14ac:dyDescent="0.25">
      <c r="A16" s="6" t="s">
        <v>26</v>
      </c>
      <c r="B16" s="6" t="s">
        <v>35</v>
      </c>
      <c r="C16" s="20">
        <v>317466</v>
      </c>
      <c r="D16" s="20">
        <v>352702</v>
      </c>
      <c r="E16" s="20">
        <v>336494</v>
      </c>
      <c r="F16" s="20">
        <v>329438</v>
      </c>
      <c r="G16" s="20">
        <v>351000</v>
      </c>
    </row>
    <row r="17" spans="1:7" x14ac:dyDescent="0.25">
      <c r="A17" s="6" t="s">
        <v>27</v>
      </c>
      <c r="B17" s="6" t="s">
        <v>36</v>
      </c>
      <c r="C17" s="20">
        <v>38206</v>
      </c>
      <c r="D17" s="20">
        <v>69476</v>
      </c>
      <c r="E17" s="20">
        <v>80660</v>
      </c>
      <c r="F17" s="20">
        <v>72646</v>
      </c>
      <c r="G17" s="20">
        <v>84500</v>
      </c>
    </row>
    <row r="18" spans="1:7" x14ac:dyDescent="0.25">
      <c r="A18" s="6" t="s">
        <v>28</v>
      </c>
      <c r="B18" s="6" t="s">
        <v>37</v>
      </c>
      <c r="C18" s="20"/>
      <c r="D18" s="20"/>
      <c r="E18" s="20"/>
      <c r="F18" s="20"/>
      <c r="G18" s="20"/>
    </row>
    <row r="19" spans="1:7" x14ac:dyDescent="0.25">
      <c r="A19" s="6" t="s">
        <v>29</v>
      </c>
      <c r="B19" s="6" t="s">
        <v>38</v>
      </c>
      <c r="C19" s="20"/>
      <c r="D19" s="20"/>
      <c r="E19" s="20"/>
      <c r="F19" s="20"/>
      <c r="G19" s="20"/>
    </row>
    <row r="20" spans="1:7" x14ac:dyDescent="0.25">
      <c r="A20" s="6" t="s">
        <v>30</v>
      </c>
      <c r="B20" s="6" t="s">
        <v>39</v>
      </c>
      <c r="C20" s="20"/>
      <c r="D20" s="20"/>
      <c r="E20" s="20"/>
      <c r="F20" s="20"/>
      <c r="G20" s="20"/>
    </row>
    <row r="21" spans="1:7" x14ac:dyDescent="0.25">
      <c r="A21" s="6" t="s">
        <v>31</v>
      </c>
      <c r="B21" s="6" t="s">
        <v>40</v>
      </c>
      <c r="C21" s="20"/>
      <c r="D21" s="20"/>
      <c r="E21" s="20"/>
      <c r="F21" s="20"/>
      <c r="G21" s="20"/>
    </row>
    <row r="22" spans="1:7" x14ac:dyDescent="0.25">
      <c r="A22" s="6" t="s">
        <v>32</v>
      </c>
      <c r="B22" s="6" t="s">
        <v>41</v>
      </c>
      <c r="C22" s="20"/>
      <c r="D22" s="20"/>
      <c r="E22" s="20"/>
      <c r="F22" s="20"/>
      <c r="G22" s="20"/>
    </row>
    <row r="23" spans="1:7" x14ac:dyDescent="0.25">
      <c r="A23" s="6" t="s">
        <v>33</v>
      </c>
      <c r="B23" s="6" t="s">
        <v>471</v>
      </c>
      <c r="C23" s="20"/>
      <c r="D23" s="20"/>
      <c r="E23" s="20"/>
      <c r="F23" s="20"/>
      <c r="G23" s="20"/>
    </row>
    <row r="24" spans="1:7" x14ac:dyDescent="0.25">
      <c r="A24" s="15" t="s">
        <v>42</v>
      </c>
      <c r="B24" s="15" t="s">
        <v>43</v>
      </c>
      <c r="C24" s="19">
        <f>SUM(C25:C31)</f>
        <v>1274</v>
      </c>
      <c r="D24" s="19">
        <f t="shared" ref="D24:G24" si="4">SUM(D25:D31)</f>
        <v>1274</v>
      </c>
      <c r="E24" s="19">
        <f t="shared" si="4"/>
        <v>1274</v>
      </c>
      <c r="F24" s="19">
        <f t="shared" si="4"/>
        <v>9274</v>
      </c>
      <c r="G24" s="19">
        <f t="shared" si="4"/>
        <v>8506</v>
      </c>
    </row>
    <row r="25" spans="1:7" x14ac:dyDescent="0.25">
      <c r="A25" s="6" t="s">
        <v>44</v>
      </c>
      <c r="B25" s="6" t="s">
        <v>45</v>
      </c>
      <c r="C25" s="20"/>
      <c r="D25" s="20"/>
      <c r="E25" s="20"/>
      <c r="F25" s="20"/>
      <c r="G25" s="20"/>
    </row>
    <row r="26" spans="1:7" x14ac:dyDescent="0.25">
      <c r="A26" s="6" t="s">
        <v>46</v>
      </c>
      <c r="B26" s="6" t="s">
        <v>47</v>
      </c>
      <c r="C26" s="20"/>
      <c r="D26" s="20"/>
      <c r="E26" s="20"/>
      <c r="F26" s="20"/>
      <c r="G26" s="20"/>
    </row>
    <row r="27" spans="1:7" x14ac:dyDescent="0.25">
      <c r="A27" s="6" t="s">
        <v>48</v>
      </c>
      <c r="B27" s="6" t="s">
        <v>49</v>
      </c>
      <c r="C27" s="20">
        <v>1274</v>
      </c>
      <c r="D27" s="20">
        <v>1274</v>
      </c>
      <c r="E27" s="20">
        <v>1274</v>
      </c>
      <c r="F27" s="20">
        <v>1274</v>
      </c>
      <c r="G27" s="20">
        <v>1274</v>
      </c>
    </row>
    <row r="28" spans="1:7" x14ac:dyDescent="0.25">
      <c r="A28" s="6" t="s">
        <v>50</v>
      </c>
      <c r="B28" s="6" t="s">
        <v>51</v>
      </c>
      <c r="C28" s="20"/>
      <c r="D28" s="20"/>
      <c r="E28" s="20"/>
      <c r="F28" s="20"/>
      <c r="G28" s="20"/>
    </row>
    <row r="29" spans="1:7" x14ac:dyDescent="0.25">
      <c r="A29" s="6" t="s">
        <v>52</v>
      </c>
      <c r="B29" s="6" t="s">
        <v>53</v>
      </c>
      <c r="C29" s="20"/>
      <c r="D29" s="20"/>
      <c r="E29" s="20"/>
      <c r="F29" s="20">
        <v>8000</v>
      </c>
      <c r="G29" s="20">
        <v>7232</v>
      </c>
    </row>
    <row r="30" spans="1:7" x14ac:dyDescent="0.25">
      <c r="A30" s="6" t="s">
        <v>54</v>
      </c>
      <c r="B30" s="6" t="s">
        <v>55</v>
      </c>
      <c r="C30" s="20"/>
      <c r="D30" s="20"/>
      <c r="E30" s="20"/>
      <c r="F30" s="20"/>
      <c r="G30" s="20"/>
    </row>
    <row r="31" spans="1:7" x14ac:dyDescent="0.25">
      <c r="A31" s="6" t="s">
        <v>56</v>
      </c>
      <c r="B31" s="6" t="s">
        <v>57</v>
      </c>
      <c r="C31" s="20"/>
      <c r="D31" s="20"/>
      <c r="E31" s="20"/>
      <c r="F31" s="20"/>
      <c r="G31" s="20"/>
    </row>
    <row r="32" spans="1:7" x14ac:dyDescent="0.25">
      <c r="A32" s="7" t="s">
        <v>58</v>
      </c>
      <c r="B32" s="7" t="s">
        <v>59</v>
      </c>
      <c r="C32" s="18">
        <f>C33+C40+C48+C58</f>
        <v>165317.4</v>
      </c>
      <c r="D32" s="18">
        <f t="shared" ref="D32:G32" si="5">D33+D40+D48+D58</f>
        <v>205243</v>
      </c>
      <c r="E32" s="18">
        <f t="shared" si="5"/>
        <v>217469</v>
      </c>
      <c r="F32" s="18">
        <f t="shared" si="5"/>
        <v>231458</v>
      </c>
      <c r="G32" s="18">
        <f t="shared" si="5"/>
        <v>256210</v>
      </c>
    </row>
    <row r="33" spans="1:7" x14ac:dyDescent="0.25">
      <c r="A33" s="15" t="s">
        <v>60</v>
      </c>
      <c r="B33" s="15" t="s">
        <v>61</v>
      </c>
      <c r="C33" s="19">
        <f>SUM(C34:C39)</f>
        <v>108746.4</v>
      </c>
      <c r="D33" s="19">
        <f t="shared" ref="D33:G33" si="6">SUM(D34:D39)</f>
        <v>137642</v>
      </c>
      <c r="E33" s="19">
        <f t="shared" si="6"/>
        <v>138478</v>
      </c>
      <c r="F33" s="19">
        <f t="shared" si="6"/>
        <v>141368</v>
      </c>
      <c r="G33" s="19">
        <f t="shared" si="6"/>
        <v>146268</v>
      </c>
    </row>
    <row r="34" spans="1:7" x14ac:dyDescent="0.25">
      <c r="A34" s="6" t="s">
        <v>62</v>
      </c>
      <c r="B34" s="6" t="s">
        <v>63</v>
      </c>
      <c r="C34" s="20">
        <v>1998.4</v>
      </c>
      <c r="D34" s="20">
        <v>1896</v>
      </c>
      <c r="E34" s="20">
        <v>2038</v>
      </c>
      <c r="F34" s="20">
        <v>2258</v>
      </c>
      <c r="G34" s="20">
        <v>1990</v>
      </c>
    </row>
    <row r="35" spans="1:7" x14ac:dyDescent="0.25">
      <c r="A35" s="6" t="s">
        <v>64</v>
      </c>
      <c r="B35" s="6" t="s">
        <v>65</v>
      </c>
      <c r="C35" s="20"/>
      <c r="D35" s="20"/>
      <c r="E35" s="20"/>
      <c r="F35" s="20"/>
      <c r="G35" s="20"/>
    </row>
    <row r="36" spans="1:7" x14ac:dyDescent="0.25">
      <c r="A36" s="6" t="s">
        <v>66</v>
      </c>
      <c r="B36" s="6" t="s">
        <v>67</v>
      </c>
      <c r="C36" s="20"/>
      <c r="D36" s="20"/>
      <c r="E36" s="20"/>
      <c r="F36" s="20"/>
      <c r="G36" s="20"/>
    </row>
    <row r="37" spans="1:7" x14ac:dyDescent="0.25">
      <c r="A37" s="6" t="s">
        <v>68</v>
      </c>
      <c r="B37" s="6" t="s">
        <v>69</v>
      </c>
      <c r="C37" s="20"/>
      <c r="D37" s="20"/>
      <c r="E37" s="20"/>
      <c r="F37" s="20"/>
      <c r="G37" s="20"/>
    </row>
    <row r="38" spans="1:7" x14ac:dyDescent="0.25">
      <c r="A38" s="6" t="s">
        <v>70</v>
      </c>
      <c r="B38" s="6" t="s">
        <v>71</v>
      </c>
      <c r="C38" s="20">
        <v>106748</v>
      </c>
      <c r="D38" s="20">
        <v>135746</v>
      </c>
      <c r="E38" s="20">
        <v>136440</v>
      </c>
      <c r="F38" s="20">
        <v>139110</v>
      </c>
      <c r="G38" s="20">
        <v>144278</v>
      </c>
    </row>
    <row r="39" spans="1:7" x14ac:dyDescent="0.25">
      <c r="A39" s="6" t="s">
        <v>72</v>
      </c>
      <c r="B39" s="6" t="s">
        <v>73</v>
      </c>
      <c r="C39" s="20"/>
      <c r="D39" s="20"/>
      <c r="E39" s="20"/>
      <c r="F39" s="20"/>
      <c r="G39" s="20"/>
    </row>
    <row r="40" spans="1:7" x14ac:dyDescent="0.25">
      <c r="A40" s="15" t="s">
        <v>74</v>
      </c>
      <c r="B40" s="15" t="s">
        <v>75</v>
      </c>
      <c r="C40" s="19">
        <f>SUM(C41:C47)</f>
        <v>44240</v>
      </c>
      <c r="D40" s="19">
        <f t="shared" ref="D40:G40" si="7">SUM(D41:D47)</f>
        <v>44624</v>
      </c>
      <c r="E40" s="19">
        <f t="shared" si="7"/>
        <v>46660</v>
      </c>
      <c r="F40" s="19">
        <f t="shared" si="7"/>
        <v>47032</v>
      </c>
      <c r="G40" s="19">
        <f t="shared" si="7"/>
        <v>59126</v>
      </c>
    </row>
    <row r="41" spans="1:7" x14ac:dyDescent="0.25">
      <c r="A41" s="6" t="s">
        <v>76</v>
      </c>
      <c r="B41" s="6" t="s">
        <v>77</v>
      </c>
      <c r="C41" s="20">
        <v>44240</v>
      </c>
      <c r="D41" s="20">
        <v>44624</v>
      </c>
      <c r="E41" s="20">
        <v>46660</v>
      </c>
      <c r="F41" s="20">
        <v>47032</v>
      </c>
      <c r="G41" s="20">
        <v>59126</v>
      </c>
    </row>
    <row r="42" spans="1:7" x14ac:dyDescent="0.25">
      <c r="A42" s="6" t="s">
        <v>78</v>
      </c>
      <c r="B42" s="6" t="s">
        <v>79</v>
      </c>
      <c r="C42" s="20"/>
      <c r="D42" s="20"/>
      <c r="E42" s="20"/>
      <c r="F42" s="20"/>
      <c r="G42" s="20"/>
    </row>
    <row r="43" spans="1:7" x14ac:dyDescent="0.25">
      <c r="A43" s="6" t="s">
        <v>80</v>
      </c>
      <c r="B43" s="6" t="s">
        <v>81</v>
      </c>
      <c r="C43" s="20"/>
      <c r="D43" s="20"/>
      <c r="E43" s="20"/>
      <c r="F43" s="20"/>
      <c r="G43" s="20"/>
    </row>
    <row r="44" spans="1:7" x14ac:dyDescent="0.25">
      <c r="A44" s="6" t="s">
        <v>82</v>
      </c>
      <c r="B44" s="6" t="s">
        <v>83</v>
      </c>
      <c r="C44" s="20"/>
      <c r="D44" s="20"/>
      <c r="E44" s="20"/>
      <c r="F44" s="20"/>
      <c r="G44" s="20"/>
    </row>
    <row r="45" spans="1:7" x14ac:dyDescent="0.25">
      <c r="A45" s="6" t="s">
        <v>84</v>
      </c>
      <c r="B45" s="6" t="s">
        <v>85</v>
      </c>
      <c r="C45" s="20"/>
      <c r="D45" s="20"/>
      <c r="E45" s="20"/>
      <c r="F45" s="20"/>
      <c r="G45" s="20"/>
    </row>
    <row r="46" spans="1:7" x14ac:dyDescent="0.25">
      <c r="A46" s="6" t="s">
        <v>86</v>
      </c>
      <c r="B46" s="6" t="s">
        <v>87</v>
      </c>
      <c r="C46" s="20"/>
      <c r="D46" s="20"/>
      <c r="E46" s="20"/>
      <c r="F46" s="20"/>
      <c r="G46" s="20"/>
    </row>
    <row r="47" spans="1:7" x14ac:dyDescent="0.25">
      <c r="A47" s="6" t="s">
        <v>88</v>
      </c>
      <c r="B47" s="6" t="s">
        <v>89</v>
      </c>
      <c r="C47" s="20"/>
      <c r="D47" s="20"/>
      <c r="E47" s="20"/>
      <c r="F47" s="20"/>
      <c r="G47" s="20"/>
    </row>
    <row r="48" spans="1:7" x14ac:dyDescent="0.25">
      <c r="A48" s="15" t="s">
        <v>90</v>
      </c>
      <c r="B48" s="15" t="s">
        <v>91</v>
      </c>
      <c r="C48" s="19">
        <f>SUM(C49:C57)</f>
        <v>0</v>
      </c>
      <c r="D48" s="19">
        <f t="shared" ref="D48:G48" si="8">SUM(D49:D57)</f>
        <v>0</v>
      </c>
      <c r="E48" s="19">
        <f t="shared" si="8"/>
        <v>0</v>
      </c>
      <c r="F48" s="19">
        <f t="shared" si="8"/>
        <v>0</v>
      </c>
      <c r="G48" s="19">
        <f t="shared" si="8"/>
        <v>0</v>
      </c>
    </row>
    <row r="49" spans="1:7" x14ac:dyDescent="0.25">
      <c r="A49" s="6" t="s">
        <v>92</v>
      </c>
      <c r="B49" s="6" t="s">
        <v>77</v>
      </c>
      <c r="C49" s="20"/>
      <c r="D49" s="20"/>
      <c r="E49" s="20"/>
      <c r="F49" s="20"/>
      <c r="G49" s="20"/>
    </row>
    <row r="50" spans="1:7" x14ac:dyDescent="0.25">
      <c r="A50" s="6" t="s">
        <v>93</v>
      </c>
      <c r="B50" s="6" t="s">
        <v>79</v>
      </c>
      <c r="C50" s="20"/>
      <c r="D50" s="20"/>
      <c r="E50" s="20"/>
      <c r="F50" s="20"/>
      <c r="G50" s="20"/>
    </row>
    <row r="51" spans="1:7" x14ac:dyDescent="0.25">
      <c r="A51" s="6" t="s">
        <v>94</v>
      </c>
      <c r="B51" s="6" t="s">
        <v>81</v>
      </c>
      <c r="C51" s="20"/>
      <c r="D51" s="20"/>
      <c r="E51" s="20"/>
      <c r="F51" s="20"/>
      <c r="G51" s="20"/>
    </row>
    <row r="52" spans="1:7" x14ac:dyDescent="0.25">
      <c r="A52" s="6" t="s">
        <v>95</v>
      </c>
      <c r="B52" s="6" t="s">
        <v>83</v>
      </c>
      <c r="C52" s="20"/>
      <c r="D52" s="20"/>
      <c r="E52" s="20"/>
      <c r="F52" s="20"/>
      <c r="G52" s="20"/>
    </row>
    <row r="53" spans="1:7" x14ac:dyDescent="0.25">
      <c r="A53" s="6" t="s">
        <v>96</v>
      </c>
      <c r="B53" s="6" t="s">
        <v>97</v>
      </c>
      <c r="C53" s="20"/>
      <c r="D53" s="20"/>
      <c r="E53" s="20"/>
      <c r="F53" s="20"/>
      <c r="G53" s="20"/>
    </row>
    <row r="54" spans="1:7" x14ac:dyDescent="0.25">
      <c r="A54" s="6" t="s">
        <v>98</v>
      </c>
      <c r="B54" s="6" t="s">
        <v>99</v>
      </c>
      <c r="C54" s="20"/>
      <c r="D54" s="20"/>
      <c r="E54" s="20"/>
      <c r="F54" s="20"/>
      <c r="G54" s="20"/>
    </row>
    <row r="55" spans="1:7" x14ac:dyDescent="0.25">
      <c r="A55" s="6" t="s">
        <v>100</v>
      </c>
      <c r="B55" s="6" t="s">
        <v>101</v>
      </c>
      <c r="C55" s="20"/>
      <c r="D55" s="20"/>
      <c r="E55" s="20"/>
      <c r="F55" s="20"/>
      <c r="G55" s="20"/>
    </row>
    <row r="56" spans="1:7" x14ac:dyDescent="0.25">
      <c r="A56" s="6" t="s">
        <v>102</v>
      </c>
      <c r="B56" s="6" t="s">
        <v>85</v>
      </c>
      <c r="C56" s="20"/>
      <c r="D56" s="20"/>
      <c r="E56" s="20"/>
      <c r="F56" s="20"/>
      <c r="G56" s="20"/>
    </row>
    <row r="57" spans="1:7" x14ac:dyDescent="0.25">
      <c r="A57" s="6" t="s">
        <v>103</v>
      </c>
      <c r="B57" s="6" t="s">
        <v>87</v>
      </c>
      <c r="C57" s="20"/>
      <c r="D57" s="20"/>
      <c r="E57" s="20"/>
      <c r="F57" s="20"/>
      <c r="G57" s="20"/>
    </row>
    <row r="58" spans="1:7" x14ac:dyDescent="0.25">
      <c r="A58" s="15" t="s">
        <v>104</v>
      </c>
      <c r="B58" s="15" t="s">
        <v>105</v>
      </c>
      <c r="C58" s="19">
        <f>SUM(C59:C62)</f>
        <v>12331</v>
      </c>
      <c r="D58" s="19">
        <f t="shared" ref="D58:G58" si="9">SUM(D59:D62)</f>
        <v>22977</v>
      </c>
      <c r="E58" s="19">
        <f t="shared" si="9"/>
        <v>32331</v>
      </c>
      <c r="F58" s="19">
        <f t="shared" si="9"/>
        <v>43058</v>
      </c>
      <c r="G58" s="19">
        <f t="shared" si="9"/>
        <v>50816</v>
      </c>
    </row>
    <row r="59" spans="1:7" x14ac:dyDescent="0.25">
      <c r="A59" s="6" t="s">
        <v>106</v>
      </c>
      <c r="B59" s="6" t="s">
        <v>107</v>
      </c>
      <c r="C59" s="20"/>
      <c r="D59" s="20"/>
      <c r="E59" s="20"/>
      <c r="F59" s="20"/>
      <c r="G59" s="20"/>
    </row>
    <row r="60" spans="1:7" x14ac:dyDescent="0.25">
      <c r="A60" s="6" t="s">
        <v>108</v>
      </c>
      <c r="B60" s="6" t="s">
        <v>109</v>
      </c>
      <c r="C60" s="20">
        <v>12331</v>
      </c>
      <c r="D60" s="20">
        <v>22977</v>
      </c>
      <c r="E60" s="20">
        <v>32331</v>
      </c>
      <c r="F60" s="20">
        <v>43058</v>
      </c>
      <c r="G60" s="20">
        <v>50816</v>
      </c>
    </row>
    <row r="61" spans="1:7" x14ac:dyDescent="0.25">
      <c r="A61" s="6" t="s">
        <v>110</v>
      </c>
      <c r="B61" s="6" t="s">
        <v>111</v>
      </c>
      <c r="C61" s="20"/>
      <c r="D61" s="20"/>
      <c r="E61" s="20"/>
      <c r="F61" s="20"/>
      <c r="G61" s="20"/>
    </row>
    <row r="62" spans="1:7" x14ac:dyDescent="0.25">
      <c r="A62" s="6" t="s">
        <v>112</v>
      </c>
      <c r="B62" s="6" t="s">
        <v>113</v>
      </c>
      <c r="C62" s="20"/>
      <c r="D62" s="20"/>
      <c r="E62" s="20"/>
      <c r="F62" s="20"/>
      <c r="G62" s="20"/>
    </row>
    <row r="63" spans="1:7" x14ac:dyDescent="0.25">
      <c r="A63" s="7" t="s">
        <v>114</v>
      </c>
      <c r="B63" s="7" t="s">
        <v>115</v>
      </c>
      <c r="C63" s="18">
        <f>SUM(C64:C66)</f>
        <v>2150</v>
      </c>
      <c r="D63" s="18">
        <f t="shared" ref="D63:G63" si="10">SUM(D64:D66)</f>
        <v>3748</v>
      </c>
      <c r="E63" s="18">
        <f t="shared" si="10"/>
        <v>3202</v>
      </c>
      <c r="F63" s="18">
        <f t="shared" si="10"/>
        <v>9038</v>
      </c>
      <c r="G63" s="18">
        <f t="shared" si="10"/>
        <v>13886</v>
      </c>
    </row>
    <row r="64" spans="1:7" x14ac:dyDescent="0.25">
      <c r="A64" s="6" t="s">
        <v>116</v>
      </c>
      <c r="B64" s="6" t="s">
        <v>117</v>
      </c>
      <c r="C64" s="20">
        <v>2150</v>
      </c>
      <c r="D64" s="20">
        <v>3748</v>
      </c>
      <c r="E64" s="20">
        <v>3202</v>
      </c>
      <c r="F64" s="20">
        <v>9038</v>
      </c>
      <c r="G64" s="20">
        <v>13886</v>
      </c>
    </row>
    <row r="65" spans="1:7" x14ac:dyDescent="0.25">
      <c r="A65" s="6" t="s">
        <v>118</v>
      </c>
      <c r="B65" s="6" t="s">
        <v>119</v>
      </c>
      <c r="C65" s="20"/>
      <c r="D65" s="20"/>
      <c r="E65" s="20"/>
      <c r="F65" s="20"/>
      <c r="G65" s="20"/>
    </row>
    <row r="66" spans="1:7" x14ac:dyDescent="0.25">
      <c r="A66" s="6" t="s">
        <v>120</v>
      </c>
      <c r="B66" s="6" t="s">
        <v>121</v>
      </c>
      <c r="C66" s="20"/>
      <c r="D66" s="20"/>
      <c r="E66" s="20"/>
      <c r="F66" s="20"/>
      <c r="G66" s="20"/>
    </row>
    <row r="68" spans="1:7" x14ac:dyDescent="0.25">
      <c r="A68" s="10"/>
      <c r="B68" s="9" t="s">
        <v>122</v>
      </c>
      <c r="C68" s="22">
        <f>C69+C86+C119</f>
        <v>539586</v>
      </c>
      <c r="D68" s="22">
        <f t="shared" ref="D68:G68" si="11">D69+D86+D119</f>
        <v>647959</v>
      </c>
      <c r="E68" s="22">
        <f t="shared" si="11"/>
        <v>655325</v>
      </c>
      <c r="F68" s="22">
        <f t="shared" si="11"/>
        <v>668252</v>
      </c>
      <c r="G68" s="22">
        <f t="shared" si="11"/>
        <v>730790</v>
      </c>
    </row>
    <row r="69" spans="1:7" x14ac:dyDescent="0.25">
      <c r="A69" s="11" t="s">
        <v>4</v>
      </c>
      <c r="B69" s="11" t="s">
        <v>123</v>
      </c>
      <c r="C69" s="23">
        <f>C70+C74+C79+C82+C85</f>
        <v>260130</v>
      </c>
      <c r="D69" s="23">
        <f t="shared" ref="D69:G69" si="12">D70+D74+D79+D82+D85</f>
        <v>279089</v>
      </c>
      <c r="E69" s="23">
        <f t="shared" si="12"/>
        <v>280087</v>
      </c>
      <c r="F69" s="23">
        <f t="shared" si="12"/>
        <v>306936</v>
      </c>
      <c r="G69" s="23">
        <f t="shared" si="12"/>
        <v>342904</v>
      </c>
    </row>
    <row r="70" spans="1:7" x14ac:dyDescent="0.25">
      <c r="A70" s="21" t="s">
        <v>124</v>
      </c>
      <c r="B70" s="21" t="s">
        <v>125</v>
      </c>
      <c r="C70" s="24">
        <f>SUM(C71:C73)</f>
        <v>150000</v>
      </c>
      <c r="D70" s="24">
        <f t="shared" ref="D70:G70" si="13">SUM(D71:D73)</f>
        <v>150000</v>
      </c>
      <c r="E70" s="24">
        <f t="shared" si="13"/>
        <v>150000</v>
      </c>
      <c r="F70" s="24">
        <f t="shared" si="13"/>
        <v>150000</v>
      </c>
      <c r="G70" s="24">
        <f t="shared" si="13"/>
        <v>150000</v>
      </c>
    </row>
    <row r="71" spans="1:7" x14ac:dyDescent="0.25">
      <c r="A71" s="12" t="s">
        <v>126</v>
      </c>
      <c r="B71" s="12" t="s">
        <v>125</v>
      </c>
      <c r="C71" s="25">
        <v>150000</v>
      </c>
      <c r="D71" s="25">
        <v>150000</v>
      </c>
      <c r="E71" s="25">
        <v>150000</v>
      </c>
      <c r="F71" s="25">
        <v>150000</v>
      </c>
      <c r="G71" s="25">
        <v>150000</v>
      </c>
    </row>
    <row r="72" spans="1:7" x14ac:dyDescent="0.25">
      <c r="A72" s="12" t="s">
        <v>127</v>
      </c>
      <c r="B72" s="12" t="s">
        <v>128</v>
      </c>
      <c r="C72" s="25"/>
      <c r="D72" s="25"/>
      <c r="E72" s="25"/>
      <c r="F72" s="25"/>
      <c r="G72" s="25"/>
    </row>
    <row r="73" spans="1:7" x14ac:dyDescent="0.25">
      <c r="A73" s="12" t="s">
        <v>129</v>
      </c>
      <c r="B73" s="12" t="s">
        <v>130</v>
      </c>
      <c r="C73" s="101"/>
      <c r="D73" s="25"/>
      <c r="E73" s="25"/>
      <c r="F73" s="25"/>
      <c r="G73" s="25"/>
    </row>
    <row r="74" spans="1:7" x14ac:dyDescent="0.25">
      <c r="A74" s="21" t="s">
        <v>131</v>
      </c>
      <c r="B74" s="21" t="s">
        <v>132</v>
      </c>
      <c r="C74" s="24">
        <f>SUM(C75:C78)</f>
        <v>11610</v>
      </c>
      <c r="D74" s="24">
        <f t="shared" ref="D74:G74" si="14">SUM(D75:D78)</f>
        <v>11610</v>
      </c>
      <c r="E74" s="24">
        <f t="shared" si="14"/>
        <v>11610</v>
      </c>
      <c r="F74" s="24">
        <f t="shared" si="14"/>
        <v>11610</v>
      </c>
      <c r="G74" s="24">
        <f t="shared" si="14"/>
        <v>11610</v>
      </c>
    </row>
    <row r="75" spans="1:7" x14ac:dyDescent="0.25">
      <c r="A75" s="12" t="s">
        <v>133</v>
      </c>
      <c r="B75" s="12" t="s">
        <v>134</v>
      </c>
      <c r="C75" s="25">
        <v>11610</v>
      </c>
      <c r="D75" s="25">
        <v>11610</v>
      </c>
      <c r="E75" s="25">
        <v>11610</v>
      </c>
      <c r="F75" s="25">
        <v>11610</v>
      </c>
      <c r="G75" s="25">
        <v>11610</v>
      </c>
    </row>
    <row r="76" spans="1:7" x14ac:dyDescent="0.25">
      <c r="A76" s="12" t="s">
        <v>135</v>
      </c>
      <c r="B76" s="12" t="s">
        <v>136</v>
      </c>
      <c r="C76" s="25"/>
      <c r="D76" s="25"/>
      <c r="E76" s="25"/>
      <c r="F76" s="25"/>
      <c r="G76" s="25"/>
    </row>
    <row r="77" spans="1:7" x14ac:dyDescent="0.25">
      <c r="A77" s="12" t="s">
        <v>137</v>
      </c>
      <c r="B77" s="12" t="s">
        <v>138</v>
      </c>
      <c r="C77" s="25"/>
      <c r="D77" s="25"/>
      <c r="E77" s="25"/>
      <c r="F77" s="25"/>
      <c r="G77" s="25"/>
    </row>
    <row r="78" spans="1:7" x14ac:dyDescent="0.25">
      <c r="A78" s="12" t="s">
        <v>139</v>
      </c>
      <c r="B78" s="12" t="s">
        <v>140</v>
      </c>
      <c r="C78" s="25"/>
      <c r="D78" s="25"/>
      <c r="E78" s="25"/>
      <c r="F78" s="25"/>
      <c r="G78" s="25"/>
    </row>
    <row r="79" spans="1:7" x14ac:dyDescent="0.25">
      <c r="A79" s="21" t="s">
        <v>141</v>
      </c>
      <c r="B79" s="21" t="s">
        <v>142</v>
      </c>
      <c r="C79" s="24">
        <f>SUM(C80:C81)</f>
        <v>30000</v>
      </c>
      <c r="D79" s="24">
        <f t="shared" ref="D79:G79" si="15">SUM(D80:D81)</f>
        <v>30000</v>
      </c>
      <c r="E79" s="24">
        <f t="shared" si="15"/>
        <v>30000</v>
      </c>
      <c r="F79" s="24">
        <f t="shared" si="15"/>
        <v>30000</v>
      </c>
      <c r="G79" s="24">
        <f t="shared" si="15"/>
        <v>30000</v>
      </c>
    </row>
    <row r="80" spans="1:7" x14ac:dyDescent="0.25">
      <c r="A80" s="12" t="s">
        <v>143</v>
      </c>
      <c r="B80" s="12" t="s">
        <v>144</v>
      </c>
      <c r="C80" s="25"/>
      <c r="D80" s="25"/>
      <c r="E80" s="25"/>
      <c r="F80" s="25"/>
      <c r="G80" s="25"/>
    </row>
    <row r="81" spans="1:7" x14ac:dyDescent="0.25">
      <c r="A81" s="12" t="s">
        <v>145</v>
      </c>
      <c r="B81" s="12" t="s">
        <v>146</v>
      </c>
      <c r="C81" s="25">
        <v>30000</v>
      </c>
      <c r="D81" s="25">
        <v>30000</v>
      </c>
      <c r="E81" s="25">
        <v>30000</v>
      </c>
      <c r="F81" s="25">
        <v>30000</v>
      </c>
      <c r="G81" s="25">
        <v>30000</v>
      </c>
    </row>
    <row r="82" spans="1:7" x14ac:dyDescent="0.25">
      <c r="A82" s="21" t="s">
        <v>147</v>
      </c>
      <c r="B82" s="21" t="s">
        <v>148</v>
      </c>
      <c r="C82" s="24">
        <f>SUM(C83:C84)</f>
        <v>43817</v>
      </c>
      <c r="D82" s="24">
        <f t="shared" ref="D82:G82" si="16">SUM(D83:D84)</f>
        <v>58519</v>
      </c>
      <c r="E82" s="24">
        <f t="shared" si="16"/>
        <v>75479</v>
      </c>
      <c r="F82" s="24">
        <f t="shared" si="16"/>
        <v>73477</v>
      </c>
      <c r="G82" s="24">
        <f t="shared" si="16"/>
        <v>99326</v>
      </c>
    </row>
    <row r="83" spans="1:7" x14ac:dyDescent="0.25">
      <c r="A83" s="12" t="s">
        <v>149</v>
      </c>
      <c r="B83" s="12" t="s">
        <v>150</v>
      </c>
      <c r="C83" s="25">
        <v>43817</v>
      </c>
      <c r="D83" s="25">
        <v>58519</v>
      </c>
      <c r="E83" s="25">
        <v>75479</v>
      </c>
      <c r="F83" s="25">
        <v>73477</v>
      </c>
      <c r="G83" s="25">
        <v>99326</v>
      </c>
    </row>
    <row r="84" spans="1:7" x14ac:dyDescent="0.25">
      <c r="A84" s="12" t="s">
        <v>151</v>
      </c>
      <c r="B84" s="12" t="s">
        <v>152</v>
      </c>
      <c r="C84" s="25"/>
      <c r="D84" s="25"/>
      <c r="E84" s="25"/>
      <c r="F84" s="25"/>
      <c r="G84" s="25"/>
    </row>
    <row r="85" spans="1:7" x14ac:dyDescent="0.25">
      <c r="A85" s="21" t="s">
        <v>153</v>
      </c>
      <c r="B85" s="21" t="s">
        <v>154</v>
      </c>
      <c r="C85" s="115">
        <f>VZZ!C63</f>
        <v>24703</v>
      </c>
      <c r="D85" s="115">
        <f>VZZ!D63</f>
        <v>28960</v>
      </c>
      <c r="E85" s="115">
        <f>VZZ!E63</f>
        <v>12998</v>
      </c>
      <c r="F85" s="115">
        <f>VZZ!F63</f>
        <v>41849</v>
      </c>
      <c r="G85" s="115">
        <f>VZZ!G63</f>
        <v>51968</v>
      </c>
    </row>
    <row r="86" spans="1:7" x14ac:dyDescent="0.25">
      <c r="A86" s="11" t="s">
        <v>5</v>
      </c>
      <c r="B86" s="11" t="s">
        <v>155</v>
      </c>
      <c r="C86" s="23">
        <f>C87+C92+C103+C115</f>
        <v>249412</v>
      </c>
      <c r="D86" s="23">
        <f t="shared" ref="D86:G86" si="17">D87+D92+D103+D115</f>
        <v>333900</v>
      </c>
      <c r="E86" s="23">
        <f t="shared" si="17"/>
        <v>355658</v>
      </c>
      <c r="F86" s="23">
        <f t="shared" si="17"/>
        <v>347742</v>
      </c>
      <c r="G86" s="23">
        <f t="shared" si="17"/>
        <v>375970</v>
      </c>
    </row>
    <row r="87" spans="1:7" x14ac:dyDescent="0.25">
      <c r="A87" s="21" t="s">
        <v>6</v>
      </c>
      <c r="B87" s="21" t="s">
        <v>156</v>
      </c>
      <c r="C87" s="24">
        <f>SUM(C88:C91)</f>
        <v>0</v>
      </c>
      <c r="D87" s="24">
        <f t="shared" ref="D87:G87" si="18">SUM(D88:D91)</f>
        <v>3810</v>
      </c>
      <c r="E87" s="24">
        <f t="shared" si="18"/>
        <v>9414</v>
      </c>
      <c r="F87" s="24">
        <f t="shared" si="18"/>
        <v>3976</v>
      </c>
      <c r="G87" s="24">
        <f t="shared" si="18"/>
        <v>5070</v>
      </c>
    </row>
    <row r="88" spans="1:7" x14ac:dyDescent="0.25">
      <c r="A88" s="12" t="s">
        <v>7</v>
      </c>
      <c r="B88" s="12" t="s">
        <v>157</v>
      </c>
      <c r="C88" s="25">
        <v>0</v>
      </c>
      <c r="D88" s="25">
        <v>3810</v>
      </c>
      <c r="E88" s="25">
        <v>9414</v>
      </c>
      <c r="F88" s="25">
        <v>3976</v>
      </c>
      <c r="G88" s="25">
        <v>5070</v>
      </c>
    </row>
    <row r="89" spans="1:7" x14ac:dyDescent="0.25">
      <c r="A89" s="12" t="s">
        <v>8</v>
      </c>
      <c r="B89" s="12" t="s">
        <v>158</v>
      </c>
      <c r="C89" s="25"/>
      <c r="D89" s="25"/>
      <c r="E89" s="25"/>
      <c r="F89" s="25"/>
      <c r="G89" s="25"/>
    </row>
    <row r="90" spans="1:7" x14ac:dyDescent="0.25">
      <c r="A90" s="12" t="s">
        <v>9</v>
      </c>
      <c r="B90" s="12" t="s">
        <v>159</v>
      </c>
      <c r="C90" s="25"/>
      <c r="D90" s="25"/>
      <c r="E90" s="25"/>
      <c r="F90" s="25"/>
      <c r="G90" s="25"/>
    </row>
    <row r="91" spans="1:7" x14ac:dyDescent="0.25">
      <c r="A91" s="12" t="s">
        <v>10</v>
      </c>
      <c r="B91" s="12" t="s">
        <v>160</v>
      </c>
      <c r="C91" s="25"/>
      <c r="D91" s="25"/>
      <c r="E91" s="25"/>
      <c r="F91" s="25"/>
      <c r="G91" s="25"/>
    </row>
    <row r="92" spans="1:7" x14ac:dyDescent="0.25">
      <c r="A92" s="21" t="s">
        <v>24</v>
      </c>
      <c r="B92" s="21" t="s">
        <v>161</v>
      </c>
      <c r="C92" s="24">
        <f>SUM(C93:C102)</f>
        <v>14538</v>
      </c>
      <c r="D92" s="24">
        <f t="shared" ref="D92:G92" si="19">SUM(D93:D102)</f>
        <v>39466</v>
      </c>
      <c r="E92" s="24">
        <f t="shared" si="19"/>
        <v>35892</v>
      </c>
      <c r="F92" s="24">
        <f t="shared" si="19"/>
        <v>20730</v>
      </c>
      <c r="G92" s="24">
        <f t="shared" si="19"/>
        <v>12770</v>
      </c>
    </row>
    <row r="93" spans="1:7" x14ac:dyDescent="0.25">
      <c r="A93" s="12" t="s">
        <v>25</v>
      </c>
      <c r="B93" s="12" t="s">
        <v>162</v>
      </c>
      <c r="C93" s="25"/>
      <c r="D93" s="25"/>
      <c r="E93" s="25"/>
      <c r="F93" s="25"/>
      <c r="G93" s="25"/>
    </row>
    <row r="94" spans="1:7" x14ac:dyDescent="0.25">
      <c r="A94" s="12" t="s">
        <v>163</v>
      </c>
      <c r="B94" s="12" t="s">
        <v>164</v>
      </c>
      <c r="C94" s="25"/>
      <c r="D94" s="25"/>
      <c r="E94" s="25"/>
      <c r="F94" s="25"/>
      <c r="G94" s="25"/>
    </row>
    <row r="95" spans="1:7" x14ac:dyDescent="0.25">
      <c r="A95" s="12" t="s">
        <v>27</v>
      </c>
      <c r="B95" s="12" t="s">
        <v>165</v>
      </c>
      <c r="C95" s="25"/>
      <c r="D95" s="25"/>
      <c r="E95" s="25"/>
      <c r="F95" s="25"/>
      <c r="G95" s="25"/>
    </row>
    <row r="96" spans="1:7" x14ac:dyDescent="0.25">
      <c r="A96" s="12" t="s">
        <v>28</v>
      </c>
      <c r="B96" s="12" t="s">
        <v>166</v>
      </c>
      <c r="C96" s="25"/>
      <c r="D96" s="25"/>
      <c r="E96" s="25"/>
      <c r="F96" s="25"/>
      <c r="G96" s="25"/>
    </row>
    <row r="97" spans="1:7" x14ac:dyDescent="0.25">
      <c r="A97" s="12" t="s">
        <v>29</v>
      </c>
      <c r="B97" s="12" t="s">
        <v>167</v>
      </c>
      <c r="C97" s="25"/>
      <c r="D97" s="25"/>
      <c r="E97" s="25"/>
      <c r="F97" s="25"/>
      <c r="G97" s="25"/>
    </row>
    <row r="98" spans="1:7" x14ac:dyDescent="0.25">
      <c r="A98" s="12" t="s">
        <v>30</v>
      </c>
      <c r="B98" s="12" t="s">
        <v>168</v>
      </c>
      <c r="C98" s="25">
        <v>14538</v>
      </c>
      <c r="D98" s="25">
        <v>39466</v>
      </c>
      <c r="E98" s="25">
        <v>35892</v>
      </c>
      <c r="F98" s="25">
        <v>20730</v>
      </c>
      <c r="G98" s="25">
        <v>12770</v>
      </c>
    </row>
    <row r="99" spans="1:7" x14ac:dyDescent="0.25">
      <c r="A99" s="12" t="s">
        <v>31</v>
      </c>
      <c r="B99" s="12" t="s">
        <v>169</v>
      </c>
      <c r="C99" s="25"/>
      <c r="D99" s="25"/>
      <c r="E99" s="25"/>
      <c r="F99" s="25"/>
      <c r="G99" s="25"/>
    </row>
    <row r="100" spans="1:7" x14ac:dyDescent="0.25">
      <c r="A100" s="12" t="s">
        <v>32</v>
      </c>
      <c r="B100" s="12" t="s">
        <v>170</v>
      </c>
      <c r="C100" s="25"/>
      <c r="D100" s="25"/>
      <c r="E100" s="25"/>
      <c r="F100" s="25"/>
      <c r="G100" s="25"/>
    </row>
    <row r="101" spans="1:7" x14ac:dyDescent="0.25">
      <c r="A101" s="12" t="s">
        <v>33</v>
      </c>
      <c r="B101" s="12" t="s">
        <v>171</v>
      </c>
      <c r="C101" s="25"/>
      <c r="D101" s="25"/>
      <c r="E101" s="25"/>
      <c r="F101" s="25"/>
      <c r="G101" s="25"/>
    </row>
    <row r="102" spans="1:7" x14ac:dyDescent="0.25">
      <c r="A102" s="12" t="s">
        <v>172</v>
      </c>
      <c r="B102" s="12" t="s">
        <v>173</v>
      </c>
      <c r="C102" s="25"/>
      <c r="D102" s="25"/>
      <c r="E102" s="25"/>
      <c r="F102" s="25"/>
      <c r="G102" s="25"/>
    </row>
    <row r="103" spans="1:7" x14ac:dyDescent="0.25">
      <c r="A103" s="21" t="s">
        <v>42</v>
      </c>
      <c r="B103" s="21" t="s">
        <v>174</v>
      </c>
      <c r="C103" s="24">
        <f>SUM(C104:C114)</f>
        <v>118534</v>
      </c>
      <c r="D103" s="24">
        <f t="shared" ref="D103:G103" si="20">SUM(D104:D114)</f>
        <v>167874</v>
      </c>
      <c r="E103" s="24">
        <f t="shared" si="20"/>
        <v>179620</v>
      </c>
      <c r="F103" s="24">
        <f t="shared" si="20"/>
        <v>193110</v>
      </c>
      <c r="G103" s="24">
        <f t="shared" si="20"/>
        <v>200754</v>
      </c>
    </row>
    <row r="104" spans="1:7" x14ac:dyDescent="0.25">
      <c r="A104" s="12" t="s">
        <v>44</v>
      </c>
      <c r="B104" s="12" t="s">
        <v>162</v>
      </c>
      <c r="C104" s="25">
        <v>82794</v>
      </c>
      <c r="D104" s="25">
        <v>115788</v>
      </c>
      <c r="E104" s="25">
        <v>119928</v>
      </c>
      <c r="F104" s="25">
        <v>138666</v>
      </c>
      <c r="G104" s="25">
        <v>145572</v>
      </c>
    </row>
    <row r="105" spans="1:7" x14ac:dyDescent="0.25">
      <c r="A105" s="12" t="s">
        <v>46</v>
      </c>
      <c r="B105" s="12" t="s">
        <v>164</v>
      </c>
      <c r="C105" s="25"/>
      <c r="D105" s="25"/>
      <c r="E105" s="25"/>
      <c r="F105" s="25"/>
      <c r="G105" s="25"/>
    </row>
    <row r="106" spans="1:7" x14ac:dyDescent="0.25">
      <c r="A106" s="12" t="s">
        <v>48</v>
      </c>
      <c r="B106" s="12" t="s">
        <v>165</v>
      </c>
      <c r="C106" s="25"/>
      <c r="D106" s="25"/>
      <c r="E106" s="25"/>
      <c r="F106" s="25"/>
      <c r="G106" s="25"/>
    </row>
    <row r="107" spans="1:7" x14ac:dyDescent="0.25">
      <c r="A107" s="12" t="s">
        <v>50</v>
      </c>
      <c r="B107" s="12" t="s">
        <v>166</v>
      </c>
      <c r="C107" s="25"/>
      <c r="D107" s="25"/>
      <c r="E107" s="25"/>
      <c r="F107" s="25"/>
      <c r="G107" s="25"/>
    </row>
    <row r="108" spans="1:7" x14ac:dyDescent="0.25">
      <c r="A108" s="12" t="s">
        <v>52</v>
      </c>
      <c r="B108" s="12" t="s">
        <v>175</v>
      </c>
      <c r="C108" s="25">
        <v>29370</v>
      </c>
      <c r="D108" s="25">
        <v>43184</v>
      </c>
      <c r="E108" s="25">
        <v>49758</v>
      </c>
      <c r="F108" s="25">
        <v>44966</v>
      </c>
      <c r="G108" s="25">
        <v>45678</v>
      </c>
    </row>
    <row r="109" spans="1:7" x14ac:dyDescent="0.25">
      <c r="A109" s="12" t="s">
        <v>54</v>
      </c>
      <c r="B109" s="12" t="s">
        <v>176</v>
      </c>
      <c r="C109" s="25">
        <v>2978</v>
      </c>
      <c r="D109" s="25">
        <v>3694</v>
      </c>
      <c r="E109" s="25">
        <v>3630</v>
      </c>
      <c r="F109" s="25">
        <v>3762</v>
      </c>
      <c r="G109" s="25">
        <v>3946</v>
      </c>
    </row>
    <row r="110" spans="1:7" x14ac:dyDescent="0.25">
      <c r="A110" s="12" t="s">
        <v>56</v>
      </c>
      <c r="B110" s="12" t="s">
        <v>177</v>
      </c>
      <c r="C110" s="25">
        <v>3392</v>
      </c>
      <c r="D110" s="25">
        <v>5208</v>
      </c>
      <c r="E110" s="25">
        <v>6304</v>
      </c>
      <c r="F110" s="25">
        <v>5716</v>
      </c>
      <c r="G110" s="25">
        <v>5558</v>
      </c>
    </row>
    <row r="111" spans="1:7" x14ac:dyDescent="0.25">
      <c r="A111" s="12" t="s">
        <v>178</v>
      </c>
      <c r="B111" s="12" t="s">
        <v>179</v>
      </c>
      <c r="C111" s="25"/>
      <c r="D111" s="25"/>
      <c r="E111" s="25"/>
      <c r="F111" s="25"/>
      <c r="G111" s="25"/>
    </row>
    <row r="112" spans="1:7" x14ac:dyDescent="0.25">
      <c r="A112" s="12" t="s">
        <v>180</v>
      </c>
      <c r="B112" s="12" t="s">
        <v>168</v>
      </c>
      <c r="C112" s="25"/>
      <c r="D112" s="25"/>
      <c r="E112" s="25"/>
      <c r="F112" s="25"/>
      <c r="G112" s="25"/>
    </row>
    <row r="113" spans="1:7" x14ac:dyDescent="0.25">
      <c r="A113" s="12" t="s">
        <v>181</v>
      </c>
      <c r="B113" s="12" t="s">
        <v>170</v>
      </c>
      <c r="C113" s="25"/>
      <c r="D113" s="25"/>
      <c r="E113" s="25"/>
      <c r="F113" s="25"/>
      <c r="G113" s="25"/>
    </row>
    <row r="114" spans="1:7" x14ac:dyDescent="0.25">
      <c r="A114" s="12" t="s">
        <v>182</v>
      </c>
      <c r="B114" s="12" t="s">
        <v>171</v>
      </c>
      <c r="C114" s="25"/>
      <c r="D114" s="25"/>
      <c r="E114" s="25"/>
      <c r="F114" s="25"/>
      <c r="G114" s="25"/>
    </row>
    <row r="115" spans="1:7" x14ac:dyDescent="0.25">
      <c r="A115" s="21" t="s">
        <v>183</v>
      </c>
      <c r="B115" s="21" t="s">
        <v>184</v>
      </c>
      <c r="C115" s="24">
        <f>SUM(C116:C118)</f>
        <v>116340</v>
      </c>
      <c r="D115" s="24">
        <f t="shared" ref="D115:G115" si="21">SUM(D116:D118)</f>
        <v>122750</v>
      </c>
      <c r="E115" s="24">
        <f t="shared" si="21"/>
        <v>130732</v>
      </c>
      <c r="F115" s="24">
        <f t="shared" si="21"/>
        <v>129926</v>
      </c>
      <c r="G115" s="24">
        <f t="shared" si="21"/>
        <v>157376</v>
      </c>
    </row>
    <row r="116" spans="1:7" x14ac:dyDescent="0.25">
      <c r="A116" s="12" t="s">
        <v>185</v>
      </c>
      <c r="B116" s="12" t="s">
        <v>186</v>
      </c>
      <c r="C116" s="25">
        <v>46694</v>
      </c>
      <c r="D116" s="25">
        <v>55694</v>
      </c>
      <c r="E116" s="25">
        <v>74060</v>
      </c>
      <c r="F116" s="25">
        <v>95922</v>
      </c>
      <c r="G116" s="25">
        <v>120882</v>
      </c>
    </row>
    <row r="117" spans="1:7" x14ac:dyDescent="0.25">
      <c r="A117" s="12" t="s">
        <v>187</v>
      </c>
      <c r="B117" s="12" t="s">
        <v>188</v>
      </c>
      <c r="C117" s="25">
        <v>69646</v>
      </c>
      <c r="D117" s="25">
        <v>67056</v>
      </c>
      <c r="E117" s="25">
        <v>56672</v>
      </c>
      <c r="F117" s="25">
        <v>34004</v>
      </c>
      <c r="G117" s="25">
        <v>36494</v>
      </c>
    </row>
    <row r="118" spans="1:7" x14ac:dyDescent="0.25">
      <c r="A118" s="12" t="s">
        <v>189</v>
      </c>
      <c r="B118" s="12" t="s">
        <v>190</v>
      </c>
      <c r="C118" s="25"/>
      <c r="D118" s="25"/>
      <c r="E118" s="25"/>
      <c r="F118" s="25"/>
      <c r="G118" s="25"/>
    </row>
    <row r="119" spans="1:7" x14ac:dyDescent="0.25">
      <c r="A119" s="11" t="s">
        <v>60</v>
      </c>
      <c r="B119" s="11" t="s">
        <v>115</v>
      </c>
      <c r="C119" s="23">
        <f>SUM(C120:C121)</f>
        <v>30044</v>
      </c>
      <c r="D119" s="23">
        <f t="shared" ref="D119:G119" si="22">SUM(D120:D121)</f>
        <v>34970</v>
      </c>
      <c r="E119" s="23">
        <f t="shared" si="22"/>
        <v>19580</v>
      </c>
      <c r="F119" s="23">
        <f t="shared" si="22"/>
        <v>13574</v>
      </c>
      <c r="G119" s="23">
        <f t="shared" si="22"/>
        <v>11916</v>
      </c>
    </row>
    <row r="120" spans="1:7" x14ac:dyDescent="0.25">
      <c r="A120" s="12" t="s">
        <v>62</v>
      </c>
      <c r="B120" s="12" t="s">
        <v>191</v>
      </c>
      <c r="C120" s="25">
        <v>30044</v>
      </c>
      <c r="D120" s="25">
        <v>34970</v>
      </c>
      <c r="E120" s="25">
        <v>19580</v>
      </c>
      <c r="F120" s="25">
        <v>13574</v>
      </c>
      <c r="G120" s="25">
        <v>11916</v>
      </c>
    </row>
    <row r="121" spans="1:7" x14ac:dyDescent="0.25">
      <c r="A121" s="12" t="s">
        <v>64</v>
      </c>
      <c r="B121" s="12" t="s">
        <v>192</v>
      </c>
      <c r="C121" s="25"/>
      <c r="D121" s="25"/>
      <c r="E121" s="25"/>
      <c r="F121" s="25"/>
      <c r="G121" s="25"/>
    </row>
    <row r="123" spans="1:7" ht="15.75" thickBot="1" x14ac:dyDescent="0.3"/>
    <row r="124" spans="1:7" ht="15.75" thickBot="1" x14ac:dyDescent="0.3">
      <c r="B124" s="104" t="s">
        <v>488</v>
      </c>
      <c r="C124" s="105">
        <f>C2-C68</f>
        <v>-0.19999999995343387</v>
      </c>
      <c r="D124" s="105">
        <f t="shared" ref="D124:G124" si="23">D2-D68</f>
        <v>0</v>
      </c>
      <c r="E124" s="105">
        <f t="shared" si="23"/>
        <v>0</v>
      </c>
      <c r="F124" s="105">
        <f t="shared" si="23"/>
        <v>0</v>
      </c>
      <c r="G124" s="105">
        <f t="shared" si="23"/>
        <v>0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551CC-BBCA-421A-8437-540ED2E835E3}">
  <dimension ref="A2:Q203"/>
  <sheetViews>
    <sheetView topLeftCell="A193" zoomScale="80" zoomScaleNormal="80" workbookViewId="0">
      <selection activeCell="A200" sqref="A200:D200"/>
    </sheetView>
  </sheetViews>
  <sheetFormatPr defaultRowHeight="15" x14ac:dyDescent="0.25"/>
  <cols>
    <col min="1" max="3" width="9.140625" style="2"/>
    <col min="4" max="9" width="9.140625" style="2" customWidth="1"/>
    <col min="10" max="10" width="9.140625" style="2"/>
    <col min="11" max="11" width="9.140625" style="2" customWidth="1"/>
    <col min="12" max="12" width="9.140625" style="2"/>
    <col min="13" max="13" width="9.140625" customWidth="1"/>
  </cols>
  <sheetData>
    <row r="2" spans="1:17" x14ac:dyDescent="0.25">
      <c r="A2" s="143" t="s">
        <v>512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25"/>
      <c r="N2" s="125"/>
      <c r="O2" s="125"/>
      <c r="P2" s="125"/>
      <c r="Q2" s="125"/>
    </row>
    <row r="3" spans="1:17" x14ac:dyDescent="0.25">
      <c r="A3" s="820" t="s">
        <v>1516</v>
      </c>
      <c r="B3" s="811"/>
      <c r="C3" s="811"/>
      <c r="D3" s="811"/>
      <c r="E3" s="108">
        <f>Rozvaha!C1</f>
        <v>2012</v>
      </c>
      <c r="F3" s="108">
        <f>Rozvaha!D1</f>
        <v>2013</v>
      </c>
      <c r="G3" s="108">
        <f>Rozvaha!E1</f>
        <v>2014</v>
      </c>
      <c r="H3" s="108">
        <f>Rozvaha!F1</f>
        <v>2015</v>
      </c>
      <c r="I3" s="108">
        <f>Rozvaha!G1</f>
        <v>2016</v>
      </c>
      <c r="J3" s="109">
        <f>I3+1</f>
        <v>2017</v>
      </c>
      <c r="K3" s="109">
        <f t="shared" ref="K3:M3" si="0">J3+1</f>
        <v>2018</v>
      </c>
      <c r="L3" s="109">
        <f t="shared" si="0"/>
        <v>2019</v>
      </c>
      <c r="M3" s="109">
        <f t="shared" si="0"/>
        <v>2020</v>
      </c>
      <c r="N3" s="109">
        <f>M3+1</f>
        <v>2021</v>
      </c>
    </row>
    <row r="4" spans="1:17" x14ac:dyDescent="0.25">
      <c r="A4" s="60" t="s">
        <v>487</v>
      </c>
      <c r="B4" s="60"/>
      <c r="C4" s="60"/>
      <c r="D4" s="60"/>
      <c r="E4" s="90"/>
      <c r="F4" s="124">
        <f>F6/E6-1</f>
        <v>0.22745921853529905</v>
      </c>
      <c r="G4" s="124">
        <f t="shared" ref="G4:I4" si="1">G6/F6-1</f>
        <v>3.6610392035903994E-2</v>
      </c>
      <c r="H4" s="124">
        <f t="shared" si="1"/>
        <v>3.3781061334841711E-2</v>
      </c>
      <c r="I4" s="124">
        <f t="shared" si="1"/>
        <v>8.5274191810686295E-2</v>
      </c>
      <c r="J4" s="122">
        <f>TREND(F4:I4)</f>
        <v>0.16018887756041783</v>
      </c>
      <c r="K4" s="122">
        <f>TREND(F4:J4)</f>
        <v>0.12583812469042582</v>
      </c>
      <c r="L4" s="122">
        <f>TREND(F4:K4)</f>
        <v>0.11765937400709439</v>
      </c>
      <c r="M4" s="122">
        <f>TREND(F4:L4)</f>
        <v>0.11503048985888067</v>
      </c>
      <c r="N4" s="122">
        <f>TREND(F4:M4)</f>
        <v>0.11400814602346425</v>
      </c>
    </row>
    <row r="5" spans="1:17" x14ac:dyDescent="0.25">
      <c r="A5" s="60" t="s">
        <v>513</v>
      </c>
      <c r="B5" s="60"/>
      <c r="C5" s="60"/>
      <c r="D5" s="60"/>
      <c r="E5" s="90"/>
      <c r="F5" s="788">
        <f>(I6/E6)^(1/4)-1</f>
        <v>9.3069230780862711E-2</v>
      </c>
      <c r="G5" s="788"/>
      <c r="H5" s="788"/>
      <c r="I5" s="788"/>
      <c r="J5" s="789">
        <f>(N6/I6)^(1/5)-1</f>
        <v>0.12641349451808259</v>
      </c>
      <c r="K5" s="789"/>
      <c r="L5" s="789"/>
      <c r="M5" s="789"/>
      <c r="N5" s="789"/>
    </row>
    <row r="6" spans="1:17" x14ac:dyDescent="0.25">
      <c r="A6" s="60" t="s">
        <v>428</v>
      </c>
      <c r="B6" s="60"/>
      <c r="C6" s="60"/>
      <c r="D6" s="60"/>
      <c r="E6" s="117">
        <f>VZZ!C2</f>
        <v>1439502</v>
      </c>
      <c r="F6" s="117">
        <f>VZZ!D2</f>
        <v>1766930</v>
      </c>
      <c r="G6" s="117">
        <f>VZZ!E2</f>
        <v>1831618</v>
      </c>
      <c r="H6" s="117">
        <f>VZZ!F2</f>
        <v>1893492</v>
      </c>
      <c r="I6" s="117">
        <f>VZZ!G2</f>
        <v>2054958</v>
      </c>
      <c r="J6" s="123">
        <f>(1+J4)*I6</f>
        <v>2384139.4154538014</v>
      </c>
      <c r="K6" s="123">
        <f t="shared" ref="K6:N6" si="2">(1+K4)*J6</f>
        <v>2684155.0484950361</v>
      </c>
      <c r="L6" s="123">
        <f t="shared" si="2"/>
        <v>2999971.0512389438</v>
      </c>
      <c r="M6" s="123">
        <f t="shared" si="2"/>
        <v>3345059.1908254209</v>
      </c>
      <c r="N6" s="123">
        <f t="shared" si="2"/>
        <v>3726423.187510177</v>
      </c>
    </row>
    <row r="9" spans="1:17" x14ac:dyDescent="0.25">
      <c r="A9" s="143" t="s">
        <v>514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25"/>
      <c r="N9" s="125"/>
      <c r="O9" s="125"/>
      <c r="P9" s="125"/>
      <c r="Q9" s="125"/>
    </row>
    <row r="10" spans="1:17" x14ac:dyDescent="0.25">
      <c r="A10" s="820" t="s">
        <v>1516</v>
      </c>
      <c r="B10" s="811"/>
      <c r="C10" s="811"/>
      <c r="D10" s="811"/>
      <c r="E10" s="108">
        <f>Rozvaha!C1</f>
        <v>2012</v>
      </c>
      <c r="F10" s="108">
        <f>Rozvaha!D1</f>
        <v>2013</v>
      </c>
      <c r="G10" s="108">
        <f>Rozvaha!E1</f>
        <v>2014</v>
      </c>
      <c r="H10" s="108">
        <f>Rozvaha!F1</f>
        <v>2015</v>
      </c>
      <c r="I10" s="108">
        <f>Rozvaha!G1</f>
        <v>2016</v>
      </c>
      <c r="J10" s="109">
        <f>I10+1</f>
        <v>2017</v>
      </c>
      <c r="K10" s="109">
        <f t="shared" ref="K10:N10" si="3">J10+1</f>
        <v>2018</v>
      </c>
      <c r="L10" s="109">
        <f t="shared" si="3"/>
        <v>2019</v>
      </c>
      <c r="M10" s="109">
        <f t="shared" si="3"/>
        <v>2020</v>
      </c>
      <c r="N10" s="109">
        <f t="shared" si="3"/>
        <v>2021</v>
      </c>
    </row>
    <row r="11" spans="1:17" x14ac:dyDescent="0.25">
      <c r="A11" s="60" t="s">
        <v>515</v>
      </c>
      <c r="B11" s="60"/>
      <c r="C11" s="60"/>
      <c r="D11" s="60"/>
      <c r="E11" s="117">
        <f>'Nutný-Nenutný'!F23+VZZ!C19</f>
        <v>77010</v>
      </c>
      <c r="F11" s="117">
        <f>'Nutný-Nenutný'!G23+VZZ!D19</f>
        <v>82421</v>
      </c>
      <c r="G11" s="117">
        <f>'Nutný-Nenutný'!H23+VZZ!E19</f>
        <v>80925</v>
      </c>
      <c r="H11" s="117">
        <f>'Nutný-Nenutný'!I23+VZZ!F19</f>
        <v>107777</v>
      </c>
      <c r="I11" s="117">
        <f>'Nutný-Nenutný'!J23+VZZ!G19</f>
        <v>117334</v>
      </c>
      <c r="J11" s="123">
        <f>J16*J6</f>
        <v>114853.59610522387</v>
      </c>
      <c r="K11" s="123">
        <f t="shared" ref="K11:N11" si="4">K16*K6</f>
        <v>133773.4847664838</v>
      </c>
      <c r="L11" s="123">
        <f t="shared" si="4"/>
        <v>151117.92248126748</v>
      </c>
      <c r="M11" s="123">
        <f t="shared" si="4"/>
        <v>169196.94032087922</v>
      </c>
      <c r="N11" s="123">
        <f t="shared" si="4"/>
        <v>188831.29498468959</v>
      </c>
    </row>
    <row r="12" spans="1:17" x14ac:dyDescent="0.25">
      <c r="A12" s="69" t="s">
        <v>513</v>
      </c>
      <c r="B12" s="69"/>
      <c r="C12" s="69"/>
      <c r="D12" s="69"/>
      <c r="E12" s="126"/>
      <c r="F12" s="790">
        <f>(I11/E11)^(1/4)-1</f>
        <v>0.11101312169599931</v>
      </c>
      <c r="G12" s="790"/>
      <c r="H12" s="790"/>
      <c r="I12" s="790"/>
      <c r="J12" s="791">
        <f>(N11/I11)^(1/5)-1</f>
        <v>9.9841287953130076E-2</v>
      </c>
      <c r="K12" s="791"/>
      <c r="L12" s="791"/>
      <c r="M12" s="791"/>
      <c r="N12" s="791"/>
    </row>
    <row r="14" spans="1:17" x14ac:dyDescent="0.25">
      <c r="A14" s="129" t="s">
        <v>517</v>
      </c>
      <c r="B14" s="129"/>
      <c r="C14" s="129"/>
      <c r="D14" s="129"/>
    </row>
    <row r="15" spans="1:17" x14ac:dyDescent="0.25">
      <c r="A15" s="820" t="s">
        <v>1516</v>
      </c>
      <c r="B15" s="811"/>
      <c r="C15" s="811"/>
      <c r="D15" s="811"/>
      <c r="E15" s="108">
        <f>Rozvaha!C1</f>
        <v>2012</v>
      </c>
      <c r="F15" s="108">
        <f>Rozvaha!D1</f>
        <v>2013</v>
      </c>
      <c r="G15" s="108">
        <f>Rozvaha!E1</f>
        <v>2014</v>
      </c>
      <c r="H15" s="108">
        <f>Rozvaha!F1</f>
        <v>2015</v>
      </c>
      <c r="I15" s="108">
        <f>Rozvaha!G1</f>
        <v>2016</v>
      </c>
      <c r="J15" s="109">
        <f>I15+1</f>
        <v>2017</v>
      </c>
      <c r="K15" s="109">
        <f t="shared" ref="K15:N15" si="5">J15+1</f>
        <v>2018</v>
      </c>
      <c r="L15" s="109">
        <f t="shared" si="5"/>
        <v>2019</v>
      </c>
      <c r="M15" s="109">
        <f t="shared" si="5"/>
        <v>2020</v>
      </c>
      <c r="N15" s="109">
        <f t="shared" si="5"/>
        <v>2021</v>
      </c>
    </row>
    <row r="16" spans="1:17" x14ac:dyDescent="0.25">
      <c r="A16" s="69" t="s">
        <v>518</v>
      </c>
      <c r="B16" s="69"/>
      <c r="C16" s="69"/>
      <c r="D16" s="69"/>
      <c r="E16" s="127">
        <f>E11/VZZ!C2</f>
        <v>5.3497667943497126E-2</v>
      </c>
      <c r="F16" s="127">
        <f>F11/VZZ!D2</f>
        <v>4.664644326600375E-2</v>
      </c>
      <c r="G16" s="127">
        <f>G11/VZZ!E2</f>
        <v>4.4182247608398693E-2</v>
      </c>
      <c r="H16" s="127">
        <f>H11/VZZ!F2</f>
        <v>5.6919701799637915E-2</v>
      </c>
      <c r="I16" s="127">
        <f>I11/VZZ!G2</f>
        <v>5.7098003949472446E-2</v>
      </c>
      <c r="J16" s="128">
        <f>TREND(E16:I16)</f>
        <v>4.8174026804285029E-2</v>
      </c>
      <c r="K16" s="128">
        <f>TREND(E16:J16)</f>
        <v>4.9838210665769288E-2</v>
      </c>
      <c r="L16" s="128">
        <f>TREND(E16:K16)</f>
        <v>5.0373126906960657E-2</v>
      </c>
      <c r="M16" s="103">
        <f>TREND(E16:L16)</f>
        <v>5.0581149889646196E-2</v>
      </c>
      <c r="N16" s="103">
        <f>TREND(E16:M16)</f>
        <v>5.0673604548617544E-2</v>
      </c>
    </row>
    <row r="18" spans="1:14" x14ac:dyDescent="0.25">
      <c r="A18" s="129" t="s">
        <v>519</v>
      </c>
      <c r="B18" s="129"/>
      <c r="C18" s="129"/>
      <c r="D18" s="129"/>
    </row>
    <row r="19" spans="1:14" x14ac:dyDescent="0.25">
      <c r="A19" s="820" t="s">
        <v>1516</v>
      </c>
      <c r="B19" s="811"/>
      <c r="C19" s="811"/>
      <c r="D19" s="811"/>
      <c r="E19" s="108">
        <f>Rozvaha!C1</f>
        <v>2012</v>
      </c>
      <c r="F19" s="108">
        <f>Rozvaha!D1</f>
        <v>2013</v>
      </c>
      <c r="G19" s="108">
        <f>Rozvaha!E1</f>
        <v>2014</v>
      </c>
      <c r="H19" s="108">
        <f>Rozvaha!F1</f>
        <v>2015</v>
      </c>
      <c r="I19" s="108">
        <f>Rozvaha!G1</f>
        <v>2016</v>
      </c>
      <c r="J19" s="109">
        <f>I19+1</f>
        <v>2017</v>
      </c>
      <c r="K19" s="109">
        <f t="shared" ref="K19:N19" si="6">J19+1</f>
        <v>2018</v>
      </c>
      <c r="L19" s="109">
        <f t="shared" si="6"/>
        <v>2019</v>
      </c>
      <c r="M19" s="109">
        <f t="shared" si="6"/>
        <v>2020</v>
      </c>
      <c r="N19" s="109">
        <f t="shared" si="6"/>
        <v>2021</v>
      </c>
    </row>
    <row r="20" spans="1:14" x14ac:dyDescent="0.25">
      <c r="A20" s="69" t="s">
        <v>195</v>
      </c>
      <c r="B20" s="69"/>
      <c r="C20" s="69"/>
      <c r="D20" s="69"/>
      <c r="E20" s="117">
        <f>VZZ!C3</f>
        <v>1214542</v>
      </c>
      <c r="F20" s="117">
        <f>VZZ!D3</f>
        <v>1528764</v>
      </c>
      <c r="G20" s="117">
        <f>VZZ!E3</f>
        <v>1591500</v>
      </c>
      <c r="H20" s="117">
        <f>VZZ!F3</f>
        <v>1630740</v>
      </c>
      <c r="I20" s="117">
        <f>VZZ!G3</f>
        <v>1771536</v>
      </c>
      <c r="J20" s="123">
        <f>J6*J29</f>
        <v>2035299.0249220091</v>
      </c>
      <c r="K20" s="123">
        <f>K6*K29</f>
        <v>2299785.5170709579</v>
      </c>
      <c r="L20" s="123">
        <f t="shared" ref="L20:N20" si="7">L6*L29</f>
        <v>2573383.1262151953</v>
      </c>
      <c r="M20" s="123">
        <f t="shared" si="7"/>
        <v>2870704.2419806602</v>
      </c>
      <c r="N20" s="123">
        <f t="shared" si="7"/>
        <v>3198633.3390643341</v>
      </c>
    </row>
    <row r="21" spans="1:14" x14ac:dyDescent="0.25">
      <c r="A21" s="69" t="s">
        <v>208</v>
      </c>
      <c r="B21" s="69"/>
      <c r="C21" s="69"/>
      <c r="D21" s="69"/>
      <c r="E21" s="117">
        <f>VZZ!C10</f>
        <v>29472</v>
      </c>
      <c r="F21" s="117">
        <f>VZZ!D10</f>
        <v>29061</v>
      </c>
      <c r="G21" s="117">
        <f>VZZ!E10</f>
        <v>25131</v>
      </c>
      <c r="H21" s="117">
        <f>VZZ!F10</f>
        <v>27811</v>
      </c>
      <c r="I21" s="117">
        <f>VZZ!G10</f>
        <v>31198</v>
      </c>
      <c r="J21" s="123">
        <f>J6*J30</f>
        <v>44275.576811207837</v>
      </c>
      <c r="K21" s="123">
        <f t="shared" ref="K21:N21" si="8">K6*K30</f>
        <v>46691.75466568191</v>
      </c>
      <c r="L21" s="123">
        <f t="shared" si="8"/>
        <v>51051.91524826549</v>
      </c>
      <c r="M21" s="123">
        <f t="shared" si="8"/>
        <v>56432.903529835712</v>
      </c>
      <c r="N21" s="123">
        <f t="shared" si="8"/>
        <v>62623.346264859574</v>
      </c>
    </row>
    <row r="22" spans="1:14" x14ac:dyDescent="0.25">
      <c r="A22" s="69" t="s">
        <v>212</v>
      </c>
      <c r="B22" s="69"/>
      <c r="C22" s="69"/>
      <c r="D22" s="69"/>
      <c r="E22" s="117">
        <f>VZZ!C13</f>
        <v>113854</v>
      </c>
      <c r="F22" s="117">
        <f>VZZ!D13</f>
        <v>118548</v>
      </c>
      <c r="G22" s="117">
        <f>VZZ!E13</f>
        <v>123054</v>
      </c>
      <c r="H22" s="117">
        <f>VZZ!F13</f>
        <v>125664</v>
      </c>
      <c r="I22" s="117">
        <f>VZZ!G13</f>
        <v>129686</v>
      </c>
      <c r="J22" s="123">
        <f>J6*J31</f>
        <v>179066.78169276082</v>
      </c>
      <c r="K22" s="123">
        <f t="shared" ref="K22:N22" si="9">K6*K31</f>
        <v>193242.5259291619</v>
      </c>
      <c r="L22" s="123">
        <f t="shared" si="9"/>
        <v>212976.84225953033</v>
      </c>
      <c r="M22" s="123">
        <f t="shared" si="9"/>
        <v>236173.72919973405</v>
      </c>
      <c r="N22" s="123">
        <f t="shared" si="9"/>
        <v>262454.84677223442</v>
      </c>
    </row>
    <row r="23" spans="1:14" x14ac:dyDescent="0.25">
      <c r="A23" s="69"/>
      <c r="B23" s="69" t="s">
        <v>214</v>
      </c>
      <c r="C23" s="69"/>
      <c r="D23" s="69"/>
      <c r="E23" s="117">
        <f>VZZ!C14</f>
        <v>84820</v>
      </c>
      <c r="F23" s="117">
        <f>VZZ!D14</f>
        <v>88386</v>
      </c>
      <c r="G23" s="117">
        <f>VZZ!E14</f>
        <v>91760</v>
      </c>
      <c r="H23" s="117">
        <f>VZZ!F14</f>
        <v>93648</v>
      </c>
      <c r="I23" s="117">
        <f>VZZ!G14</f>
        <v>96494</v>
      </c>
      <c r="J23" s="123">
        <f>J6*J32</f>
        <v>133490.48417171856</v>
      </c>
      <c r="K23" s="123">
        <f t="shared" ref="K23:N23" si="10">K6*K32</f>
        <v>144026.29113031062</v>
      </c>
      <c r="L23" s="123">
        <f t="shared" si="10"/>
        <v>158722.58716956183</v>
      </c>
      <c r="M23" s="123">
        <f t="shared" si="10"/>
        <v>176004.98205779542</v>
      </c>
      <c r="N23" s="123">
        <f t="shared" si="10"/>
        <v>195587.97850518167</v>
      </c>
    </row>
    <row r="24" spans="1:14" x14ac:dyDescent="0.25">
      <c r="A24" s="69"/>
      <c r="B24" s="69" t="s">
        <v>521</v>
      </c>
      <c r="C24" s="69"/>
      <c r="D24" s="69"/>
      <c r="E24" s="117">
        <f>VZZ!C16</f>
        <v>29034</v>
      </c>
      <c r="F24" s="117">
        <f>VZZ!D16</f>
        <v>30162</v>
      </c>
      <c r="G24" s="117">
        <f>VZZ!E16</f>
        <v>31294</v>
      </c>
      <c r="H24" s="117">
        <f>VZZ!F16</f>
        <v>32016</v>
      </c>
      <c r="I24" s="117">
        <f>VZZ!G16</f>
        <v>33192</v>
      </c>
      <c r="J24" s="123">
        <f>J6*J33</f>
        <v>45576.297521042252</v>
      </c>
      <c r="K24" s="123">
        <f t="shared" ref="K24:N24" si="11">K6*K33</f>
        <v>49216.234798851292</v>
      </c>
      <c r="L24" s="123">
        <f t="shared" si="11"/>
        <v>54254.255089968516</v>
      </c>
      <c r="M24" s="123">
        <f t="shared" si="11"/>
        <v>60168.747141938627</v>
      </c>
      <c r="N24" s="123">
        <f t="shared" si="11"/>
        <v>66866.868267052792</v>
      </c>
    </row>
    <row r="25" spans="1:14" x14ac:dyDescent="0.25">
      <c r="A25" s="69" t="s">
        <v>222</v>
      </c>
      <c r="B25" s="69"/>
      <c r="C25" s="69"/>
      <c r="D25" s="69"/>
      <c r="E25" s="117">
        <f>VZZ!C18</f>
        <v>5230</v>
      </c>
      <c r="F25" s="117">
        <f>VZZ!D18</f>
        <v>4326</v>
      </c>
      <c r="G25" s="117">
        <f>VZZ!E18</f>
        <v>5404</v>
      </c>
      <c r="H25" s="117">
        <f>VZZ!F18</f>
        <v>6938</v>
      </c>
      <c r="I25" s="117">
        <f>VZZ!G18</f>
        <v>4110</v>
      </c>
      <c r="J25" s="123">
        <f>J6*J34</f>
        <v>7985.2398096426032</v>
      </c>
      <c r="K25" s="123">
        <f t="shared" ref="K25:N25" si="12">K6*K34</f>
        <v>8465.9090362840925</v>
      </c>
      <c r="L25" s="123">
        <f t="shared" si="12"/>
        <v>9273.6927409521813</v>
      </c>
      <c r="M25" s="123">
        <f t="shared" si="12"/>
        <v>10258.794682355825</v>
      </c>
      <c r="N25" s="123">
        <f t="shared" si="12"/>
        <v>11387.952014758321</v>
      </c>
    </row>
    <row r="26" spans="1:14" x14ac:dyDescent="0.25">
      <c r="A26" s="69" t="s">
        <v>520</v>
      </c>
      <c r="B26" s="69"/>
      <c r="C26" s="69"/>
      <c r="D26" s="69"/>
      <c r="E26" s="117">
        <f>VZZ!C26</f>
        <v>-606</v>
      </c>
      <c r="F26" s="117">
        <f>VZZ!D26</f>
        <v>3810</v>
      </c>
      <c r="G26" s="117">
        <f>VZZ!E26</f>
        <v>5604</v>
      </c>
      <c r="H26" s="117">
        <f>VZZ!F26</f>
        <v>-5438</v>
      </c>
      <c r="I26" s="117">
        <f>VZZ!G26</f>
        <v>1094</v>
      </c>
      <c r="J26" s="123">
        <f>J6*J35</f>
        <v>2659.1961129572933</v>
      </c>
      <c r="K26" s="123">
        <f t="shared" ref="K26:N26" si="13">K6*K35</f>
        <v>2195.8570264661685</v>
      </c>
      <c r="L26" s="123">
        <f t="shared" si="13"/>
        <v>2167.552293733067</v>
      </c>
      <c r="M26" s="123">
        <f t="shared" si="13"/>
        <v>2292.5811119559507</v>
      </c>
      <c r="N26" s="123">
        <f t="shared" si="13"/>
        <v>2492.4084093008241</v>
      </c>
    </row>
    <row r="28" spans="1:14" x14ac:dyDescent="0.25">
      <c r="A28" s="820" t="s">
        <v>1516</v>
      </c>
      <c r="B28" s="811"/>
      <c r="C28" s="811"/>
      <c r="D28" s="811"/>
      <c r="E28" s="108">
        <f>Rozvaha!C1</f>
        <v>2012</v>
      </c>
      <c r="F28" s="108">
        <f>Rozvaha!D1</f>
        <v>2013</v>
      </c>
      <c r="G28" s="108">
        <f>Rozvaha!E1</f>
        <v>2014</v>
      </c>
      <c r="H28" s="108">
        <f>Rozvaha!F1</f>
        <v>2015</v>
      </c>
      <c r="I28" s="108">
        <f>Rozvaha!G1</f>
        <v>2016</v>
      </c>
      <c r="J28" s="109">
        <f>I28+1</f>
        <v>2017</v>
      </c>
      <c r="K28" s="109">
        <f t="shared" ref="K28:N28" si="14">J28+1</f>
        <v>2018</v>
      </c>
      <c r="L28" s="109">
        <f t="shared" si="14"/>
        <v>2019</v>
      </c>
      <c r="M28" s="109">
        <f t="shared" si="14"/>
        <v>2020</v>
      </c>
      <c r="N28" s="109">
        <f t="shared" si="14"/>
        <v>2021</v>
      </c>
    </row>
    <row r="29" spans="1:14" x14ac:dyDescent="0.25">
      <c r="A29" s="69" t="s">
        <v>195</v>
      </c>
      <c r="B29" s="69"/>
      <c r="C29" s="69"/>
      <c r="D29" s="69"/>
      <c r="E29" s="127">
        <f>E20/E6</f>
        <v>0.84372373223517583</v>
      </c>
      <c r="F29" s="127">
        <f t="shared" ref="F29:I29" si="15">F20/F6</f>
        <v>0.86520914807038196</v>
      </c>
      <c r="G29" s="127">
        <f t="shared" si="15"/>
        <v>0.86890388716424494</v>
      </c>
      <c r="H29" s="127">
        <f t="shared" si="15"/>
        <v>0.86123416417919907</v>
      </c>
      <c r="I29" s="127">
        <f t="shared" si="15"/>
        <v>0.86207893300009053</v>
      </c>
      <c r="J29" s="128">
        <f>TREND(E29:I29)</f>
        <v>0.85368288940208914</v>
      </c>
      <c r="K29" s="128">
        <f>TREND(E29:J29)</f>
        <v>0.85680054822481733</v>
      </c>
      <c r="L29" s="128">
        <f>TREND(E29:K29)</f>
        <v>0.85780265284640855</v>
      </c>
      <c r="M29" s="128">
        <f>TREND(E29:L29)</f>
        <v>0.8581923601992496</v>
      </c>
      <c r="N29" s="128">
        <f>TREND(E29:M29)</f>
        <v>0.85836556346717896</v>
      </c>
    </row>
    <row r="30" spans="1:14" x14ac:dyDescent="0.25">
      <c r="A30" s="69" t="s">
        <v>208</v>
      </c>
      <c r="B30" s="69"/>
      <c r="C30" s="69"/>
      <c r="D30" s="69"/>
      <c r="E30" s="127">
        <f>E21/E6</f>
        <v>2.0473747170896603E-2</v>
      </c>
      <c r="F30" s="127">
        <f t="shared" ref="F30:I30" si="16">F21/F6</f>
        <v>1.6447171082046262E-2</v>
      </c>
      <c r="G30" s="127">
        <f t="shared" si="16"/>
        <v>1.3720655726248596E-2</v>
      </c>
      <c r="H30" s="127">
        <f t="shared" si="16"/>
        <v>1.4687677581949119E-2</v>
      </c>
      <c r="I30" s="127">
        <f t="shared" si="16"/>
        <v>1.5181818801162846E-2</v>
      </c>
      <c r="J30" s="128">
        <f t="shared" ref="J30:J35" si="17">TREND(E30:I30)</f>
        <v>1.8570884120373617E-2</v>
      </c>
      <c r="K30" s="128">
        <f t="shared" ref="K30:K35" si="18">TREND(E30:J30)</f>
        <v>1.739532695470079E-2</v>
      </c>
      <c r="L30" s="128">
        <f t="shared" ref="L30:L35" si="19">TREND(E30:K30)</f>
        <v>1.7017469294305958E-2</v>
      </c>
      <c r="M30" s="128">
        <f t="shared" ref="M30:M35" si="20">TREND(E30:L30)</f>
        <v>1.6870524648596855E-2</v>
      </c>
      <c r="N30" s="128">
        <f t="shared" ref="N30:N35" si="21">TREND(E30:M30)</f>
        <v>1.6805215917170584E-2</v>
      </c>
    </row>
    <row r="31" spans="1:14" x14ac:dyDescent="0.25">
      <c r="A31" s="69" t="s">
        <v>212</v>
      </c>
      <c r="B31" s="69"/>
      <c r="C31" s="69"/>
      <c r="D31" s="69"/>
      <c r="E31" s="127">
        <f>E22/E6</f>
        <v>7.9092630645876141E-2</v>
      </c>
      <c r="F31" s="127">
        <f t="shared" ref="F31:I31" si="22">F22/F6</f>
        <v>6.7092640908241977E-2</v>
      </c>
      <c r="G31" s="127">
        <f t="shared" si="22"/>
        <v>6.7183222702550421E-2</v>
      </c>
      <c r="H31" s="127">
        <f t="shared" si="22"/>
        <v>6.6366269305600439E-2</v>
      </c>
      <c r="I31" s="127">
        <f t="shared" si="22"/>
        <v>6.3108832394628014E-2</v>
      </c>
      <c r="J31" s="128">
        <f t="shared" si="17"/>
        <v>7.5107512812406962E-2</v>
      </c>
      <c r="K31" s="128">
        <f t="shared" si="18"/>
        <v>7.199380156429859E-2</v>
      </c>
      <c r="L31" s="128">
        <f t="shared" si="19"/>
        <v>7.0992965805978039E-2</v>
      </c>
      <c r="M31" s="128">
        <f t="shared" si="20"/>
        <v>7.0603751899964512E-2</v>
      </c>
      <c r="N31" s="128">
        <f t="shared" si="21"/>
        <v>7.0430767941736264E-2</v>
      </c>
    </row>
    <row r="32" spans="1:14" x14ac:dyDescent="0.25">
      <c r="A32" s="69"/>
      <c r="B32" s="69" t="s">
        <v>214</v>
      </c>
      <c r="C32" s="69"/>
      <c r="D32" s="69"/>
      <c r="E32" s="127">
        <f>E23/E6</f>
        <v>5.8923155369009557E-2</v>
      </c>
      <c r="F32" s="127">
        <f t="shared" ref="F32:I32" si="23">F23/F6</f>
        <v>5.0022355158382055E-2</v>
      </c>
      <c r="G32" s="127">
        <f t="shared" si="23"/>
        <v>5.0097782397858066E-2</v>
      </c>
      <c r="H32" s="127">
        <f t="shared" si="23"/>
        <v>4.9457827125754951E-2</v>
      </c>
      <c r="I32" s="127">
        <f t="shared" si="23"/>
        <v>4.6956677460074613E-2</v>
      </c>
      <c r="J32" s="128">
        <f t="shared" si="17"/>
        <v>5.5991056272315244E-2</v>
      </c>
      <c r="K32" s="128">
        <f t="shared" si="18"/>
        <v>5.3657962572267917E-2</v>
      </c>
      <c r="L32" s="128">
        <f t="shared" si="19"/>
        <v>5.2908039597252696E-2</v>
      </c>
      <c r="M32" s="128">
        <f t="shared" si="20"/>
        <v>5.2616402884746782E-2</v>
      </c>
      <c r="N32" s="128">
        <f t="shared" si="21"/>
        <v>5.2486786568077488E-2</v>
      </c>
    </row>
    <row r="33" spans="1:14" x14ac:dyDescent="0.25">
      <c r="A33" s="69"/>
      <c r="B33" s="69" t="s">
        <v>521</v>
      </c>
      <c r="C33" s="69"/>
      <c r="D33" s="69"/>
      <c r="E33" s="127">
        <f>E24/E6</f>
        <v>2.0169475276866584E-2</v>
      </c>
      <c r="F33" s="127">
        <f t="shared" ref="F33:I33" si="24">F24/F6</f>
        <v>1.7070285749859925E-2</v>
      </c>
      <c r="G33" s="127">
        <f t="shared" si="24"/>
        <v>1.7085440304692355E-2</v>
      </c>
      <c r="H33" s="127">
        <f t="shared" si="24"/>
        <v>1.6908442179845492E-2</v>
      </c>
      <c r="I33" s="127">
        <f t="shared" si="24"/>
        <v>1.6152154934553405E-2</v>
      </c>
      <c r="J33" s="128">
        <f t="shared" si="17"/>
        <v>1.9116456540091711E-2</v>
      </c>
      <c r="K33" s="128">
        <f t="shared" si="18"/>
        <v>1.8335838992030683E-2</v>
      </c>
      <c r="L33" s="128">
        <f t="shared" si="19"/>
        <v>1.8084926208725351E-2</v>
      </c>
      <c r="M33" s="128">
        <f t="shared" si="20"/>
        <v>1.7987349015217723E-2</v>
      </c>
      <c r="N33" s="128">
        <f t="shared" si="21"/>
        <v>1.7943981373658779E-2</v>
      </c>
    </row>
    <row r="34" spans="1:14" x14ac:dyDescent="0.25">
      <c r="A34" s="69" t="s">
        <v>222</v>
      </c>
      <c r="B34" s="69"/>
      <c r="C34" s="69"/>
      <c r="D34" s="69"/>
      <c r="E34" s="127">
        <f>E25/E6</f>
        <v>3.6332009264315019E-3</v>
      </c>
      <c r="F34" s="127">
        <f t="shared" ref="F34:I34" si="25">F25/F6</f>
        <v>2.4483143078673181E-3</v>
      </c>
      <c r="G34" s="127">
        <f t="shared" si="25"/>
        <v>2.9503968622278227E-3</v>
      </c>
      <c r="H34" s="127">
        <f t="shared" si="25"/>
        <v>3.6641295553400807E-3</v>
      </c>
      <c r="I34" s="127">
        <f t="shared" si="25"/>
        <v>2.000040876747846E-3</v>
      </c>
      <c r="J34" s="128">
        <f t="shared" si="17"/>
        <v>3.3493174761018234E-3</v>
      </c>
      <c r="K34" s="128">
        <f t="shared" si="18"/>
        <v>3.154031299730914E-3</v>
      </c>
      <c r="L34" s="128">
        <f t="shared" si="19"/>
        <v>3.0912607430402645E-3</v>
      </c>
      <c r="M34" s="128">
        <f t="shared" si="20"/>
        <v>3.0668499709939011E-3</v>
      </c>
      <c r="N34" s="128">
        <f t="shared" si="21"/>
        <v>3.0560007389732946E-3</v>
      </c>
    </row>
    <row r="35" spans="1:14" x14ac:dyDescent="0.25">
      <c r="A35" s="69" t="s">
        <v>520</v>
      </c>
      <c r="B35" s="69"/>
      <c r="C35" s="69"/>
      <c r="D35" s="69"/>
      <c r="E35" s="127">
        <f>E26/E6</f>
        <v>-4.2097892187714918E-4</v>
      </c>
      <c r="F35" s="127">
        <f t="shared" ref="F35:I35" si="26">F26/F6</f>
        <v>2.1562823654587334E-3</v>
      </c>
      <c r="G35" s="127">
        <f t="shared" si="26"/>
        <v>3.0595899363295184E-3</v>
      </c>
      <c r="H35" s="127">
        <f t="shared" si="26"/>
        <v>-2.8719424217266299E-3</v>
      </c>
      <c r="I35" s="127">
        <f t="shared" si="26"/>
        <v>5.3237097789833176E-4</v>
      </c>
      <c r="J35" s="128">
        <f t="shared" si="17"/>
        <v>1.1153693847434408E-3</v>
      </c>
      <c r="K35" s="128">
        <f t="shared" si="18"/>
        <v>8.1808129068302194E-4</v>
      </c>
      <c r="L35" s="128">
        <f t="shared" si="19"/>
        <v>7.2252440330645854E-4</v>
      </c>
      <c r="M35" s="128">
        <f t="shared" si="20"/>
        <v>6.8536339154890628E-4</v>
      </c>
      <c r="N35" s="128">
        <f t="shared" si="21"/>
        <v>6.6884738632332725E-4</v>
      </c>
    </row>
    <row r="37" spans="1:14" x14ac:dyDescent="0.25">
      <c r="A37" s="60" t="s">
        <v>195</v>
      </c>
      <c r="B37" s="69"/>
      <c r="C37" s="69"/>
      <c r="D37" s="69"/>
      <c r="E37" s="117">
        <f>E20</f>
        <v>1214542</v>
      </c>
      <c r="F37" s="117">
        <f t="shared" ref="F37:N37" si="27">F20</f>
        <v>1528764</v>
      </c>
      <c r="G37" s="117">
        <f t="shared" si="27"/>
        <v>1591500</v>
      </c>
      <c r="H37" s="117">
        <f t="shared" si="27"/>
        <v>1630740</v>
      </c>
      <c r="I37" s="117">
        <f t="shared" si="27"/>
        <v>1771536</v>
      </c>
      <c r="J37" s="123">
        <f t="shared" si="27"/>
        <v>2035299.0249220091</v>
      </c>
      <c r="K37" s="123">
        <f t="shared" si="27"/>
        <v>2299785.5170709579</v>
      </c>
      <c r="L37" s="123">
        <f t="shared" si="27"/>
        <v>2573383.1262151953</v>
      </c>
      <c r="M37" s="123">
        <f t="shared" si="27"/>
        <v>2870704.2419806602</v>
      </c>
      <c r="N37" s="123">
        <f t="shared" si="27"/>
        <v>3198633.3390643341</v>
      </c>
    </row>
    <row r="38" spans="1:14" x14ac:dyDescent="0.25">
      <c r="A38" s="69" t="s">
        <v>487</v>
      </c>
      <c r="B38" s="69"/>
      <c r="C38" s="69"/>
      <c r="D38" s="69"/>
      <c r="E38" s="127"/>
      <c r="F38" s="127">
        <f>F37/E37-1</f>
        <v>0.25871645443302915</v>
      </c>
      <c r="G38" s="127">
        <f t="shared" ref="G38:I38" si="28">G37/F37-1</f>
        <v>4.1037073086493292E-2</v>
      </c>
      <c r="H38" s="127">
        <f t="shared" si="28"/>
        <v>2.4655984919886853E-2</v>
      </c>
      <c r="I38" s="127">
        <f t="shared" si="28"/>
        <v>8.6338717392104192E-2</v>
      </c>
      <c r="J38" s="128">
        <f t="shared" ref="J38" si="29">J37/I37-1</f>
        <v>0.14888945238595719</v>
      </c>
      <c r="K38" s="128">
        <f t="shared" ref="K38" si="30">K37/J37-1</f>
        <v>0.1299496972731482</v>
      </c>
      <c r="L38" s="128">
        <f t="shared" ref="L38" si="31">L37/K37-1</f>
        <v>0.11896657627998963</v>
      </c>
      <c r="M38" s="128">
        <f t="shared" ref="M38" si="32">M37/L37-1</f>
        <v>0.11553705809937065</v>
      </c>
      <c r="N38" s="128">
        <f t="shared" ref="N38" si="33">N37/M37-1</f>
        <v>0.1142329788935057</v>
      </c>
    </row>
    <row r="39" spans="1:14" x14ac:dyDescent="0.25">
      <c r="A39" s="69" t="s">
        <v>522</v>
      </c>
      <c r="B39" s="69"/>
      <c r="C39" s="69"/>
      <c r="D39" s="69"/>
      <c r="E39" s="127"/>
      <c r="F39" s="778">
        <f>(I37/E37)^(1/4)-1</f>
        <v>9.8966265118531016E-2</v>
      </c>
      <c r="G39" s="778"/>
      <c r="H39" s="778"/>
      <c r="I39" s="778"/>
      <c r="J39" s="776">
        <f>(N37/I37)^(1/5)-1</f>
        <v>0.12544142225149302</v>
      </c>
      <c r="K39" s="776"/>
      <c r="L39" s="776"/>
      <c r="M39" s="776"/>
      <c r="N39" s="776"/>
    </row>
    <row r="41" spans="1:14" x14ac:dyDescent="0.25">
      <c r="A41" s="60" t="s">
        <v>208</v>
      </c>
      <c r="B41" s="69"/>
      <c r="C41" s="69"/>
      <c r="D41" s="69"/>
      <c r="E41" s="117">
        <f>E21</f>
        <v>29472</v>
      </c>
      <c r="F41" s="117">
        <f t="shared" ref="F41:N41" si="34">F21</f>
        <v>29061</v>
      </c>
      <c r="G41" s="117">
        <f t="shared" si="34"/>
        <v>25131</v>
      </c>
      <c r="H41" s="117">
        <f t="shared" si="34"/>
        <v>27811</v>
      </c>
      <c r="I41" s="117">
        <f t="shared" si="34"/>
        <v>31198</v>
      </c>
      <c r="J41" s="123">
        <f t="shared" si="34"/>
        <v>44275.576811207837</v>
      </c>
      <c r="K41" s="123">
        <f t="shared" si="34"/>
        <v>46691.75466568191</v>
      </c>
      <c r="L41" s="123">
        <f t="shared" si="34"/>
        <v>51051.91524826549</v>
      </c>
      <c r="M41" s="123">
        <f t="shared" si="34"/>
        <v>56432.903529835712</v>
      </c>
      <c r="N41" s="123">
        <f t="shared" si="34"/>
        <v>62623.346264859574</v>
      </c>
    </row>
    <row r="42" spans="1:14" x14ac:dyDescent="0.25">
      <c r="A42" s="69" t="s">
        <v>487</v>
      </c>
      <c r="B42" s="69"/>
      <c r="C42" s="69"/>
      <c r="D42" s="69"/>
      <c r="E42" s="90"/>
      <c r="F42" s="127">
        <f>F41/E41-1</f>
        <v>-1.3945439739413645E-2</v>
      </c>
      <c r="G42" s="127">
        <f t="shared" ref="G42:N42" si="35">G41/F41-1</f>
        <v>-0.13523278620832047</v>
      </c>
      <c r="H42" s="127">
        <f t="shared" si="35"/>
        <v>0.10664120011141609</v>
      </c>
      <c r="I42" s="127">
        <f t="shared" si="35"/>
        <v>0.12178634353313433</v>
      </c>
      <c r="J42" s="128">
        <f t="shared" si="35"/>
        <v>0.41917997343444569</v>
      </c>
      <c r="K42" s="128">
        <f t="shared" si="35"/>
        <v>5.4571346744430205E-2</v>
      </c>
      <c r="L42" s="128">
        <f t="shared" si="35"/>
        <v>9.3381810424620015E-2</v>
      </c>
      <c r="M42" s="128">
        <f t="shared" si="35"/>
        <v>0.10540228031411703</v>
      </c>
      <c r="N42" s="128">
        <f t="shared" si="35"/>
        <v>0.10969562698029556</v>
      </c>
    </row>
    <row r="43" spans="1:14" x14ac:dyDescent="0.25">
      <c r="A43" s="69" t="s">
        <v>522</v>
      </c>
      <c r="B43" s="69"/>
      <c r="C43" s="69"/>
      <c r="D43" s="69"/>
      <c r="E43" s="90"/>
      <c r="F43" s="778">
        <f>(I41/E41)^(1/4)-1</f>
        <v>1.4330037043650767E-2</v>
      </c>
      <c r="G43" s="778"/>
      <c r="H43" s="778"/>
      <c r="I43" s="778"/>
      <c r="J43" s="776">
        <f>(N41/I41)^(1/5)-1</f>
        <v>0.14953421786104348</v>
      </c>
      <c r="K43" s="776"/>
      <c r="L43" s="776"/>
      <c r="M43" s="776"/>
      <c r="N43" s="776"/>
    </row>
    <row r="44" spans="1:14" x14ac:dyDescent="0.25">
      <c r="A44" s="69" t="s">
        <v>523</v>
      </c>
      <c r="B44" s="69"/>
      <c r="C44" s="69"/>
      <c r="D44" s="69"/>
    </row>
    <row r="46" spans="1:14" x14ac:dyDescent="0.25">
      <c r="A46" s="60" t="s">
        <v>212</v>
      </c>
      <c r="B46" s="69"/>
      <c r="C46" s="69"/>
      <c r="D46" s="69"/>
      <c r="E46" s="117">
        <f>E22</f>
        <v>113854</v>
      </c>
      <c r="F46" s="117">
        <f t="shared" ref="F46:N46" si="36">F22</f>
        <v>118548</v>
      </c>
      <c r="G46" s="117">
        <f t="shared" si="36"/>
        <v>123054</v>
      </c>
      <c r="H46" s="117">
        <f t="shared" si="36"/>
        <v>125664</v>
      </c>
      <c r="I46" s="117">
        <f t="shared" si="36"/>
        <v>129686</v>
      </c>
      <c r="J46" s="123">
        <f t="shared" si="36"/>
        <v>179066.78169276082</v>
      </c>
      <c r="K46" s="123">
        <f t="shared" si="36"/>
        <v>193242.5259291619</v>
      </c>
      <c r="L46" s="123">
        <f t="shared" si="36"/>
        <v>212976.84225953033</v>
      </c>
      <c r="M46" s="123">
        <f t="shared" si="36"/>
        <v>236173.72919973405</v>
      </c>
      <c r="N46" s="123">
        <f t="shared" si="36"/>
        <v>262454.84677223442</v>
      </c>
    </row>
    <row r="47" spans="1:14" x14ac:dyDescent="0.25">
      <c r="A47" s="69" t="s">
        <v>487</v>
      </c>
      <c r="B47" s="69"/>
      <c r="C47" s="69"/>
      <c r="D47" s="69"/>
      <c r="E47" s="90"/>
      <c r="F47" s="127">
        <f t="shared" ref="F47" si="37">F46/E46-1</f>
        <v>4.1228239675373812E-2</v>
      </c>
      <c r="G47" s="127">
        <f t="shared" ref="G47" si="38">G46/F46-1</f>
        <v>3.8009920032392008E-2</v>
      </c>
      <c r="H47" s="127">
        <f t="shared" ref="H47" si="39">H46/G46-1</f>
        <v>2.1210200399824464E-2</v>
      </c>
      <c r="I47" s="127">
        <f t="shared" ref="I47" si="40">I46/H46-1</f>
        <v>3.2005984211866512E-2</v>
      </c>
      <c r="J47" s="128">
        <f t="shared" ref="J47" si="41">J46/I46-1</f>
        <v>0.38077187740203899</v>
      </c>
      <c r="K47" s="128">
        <f t="shared" ref="K47" si="42">K46/J46-1</f>
        <v>7.9164566997822927E-2</v>
      </c>
      <c r="L47" s="128">
        <f t="shared" ref="L47" si="43">L46/K46-1</f>
        <v>0.10212201602872106</v>
      </c>
      <c r="M47" s="128">
        <f t="shared" ref="M47" si="44">M46/L46-1</f>
        <v>0.10891741418504242</v>
      </c>
      <c r="N47" s="128">
        <f t="shared" ref="N47" si="45">N46/M46-1</f>
        <v>0.11127875086510675</v>
      </c>
    </row>
    <row r="48" spans="1:14" x14ac:dyDescent="0.25">
      <c r="A48" s="69" t="s">
        <v>522</v>
      </c>
      <c r="B48" s="69"/>
      <c r="C48" s="69"/>
      <c r="D48" s="69"/>
      <c r="E48" s="90"/>
      <c r="F48" s="778">
        <f>(I46/E46)^(1/4)-1</f>
        <v>3.3085344226907232E-2</v>
      </c>
      <c r="G48" s="778"/>
      <c r="H48" s="778"/>
      <c r="I48" s="778"/>
      <c r="J48" s="776">
        <f>(N46/I46)^(1/5)-1</f>
        <v>0.15141610694333107</v>
      </c>
      <c r="K48" s="776"/>
      <c r="L48" s="776"/>
      <c r="M48" s="776"/>
      <c r="N48" s="776"/>
    </row>
    <row r="50" spans="1:17" x14ac:dyDescent="0.25">
      <c r="A50" s="69" t="s">
        <v>524</v>
      </c>
      <c r="B50" s="69"/>
      <c r="C50" s="69"/>
      <c r="D50" s="69"/>
      <c r="E50" s="117">
        <f>E6-E20-E21-E22-E25-E26</f>
        <v>77010</v>
      </c>
      <c r="F50" s="117">
        <f t="shared" ref="F50:N50" si="46">F6-F20-F21-F22-F25-F26</f>
        <v>82421</v>
      </c>
      <c r="G50" s="117">
        <f t="shared" si="46"/>
        <v>80925</v>
      </c>
      <c r="H50" s="117">
        <f t="shared" si="46"/>
        <v>107777</v>
      </c>
      <c r="I50" s="117">
        <f t="shared" si="46"/>
        <v>117334</v>
      </c>
      <c r="J50" s="123">
        <f t="shared" si="46"/>
        <v>114853.59610522378</v>
      </c>
      <c r="K50" s="123">
        <f t="shared" si="46"/>
        <v>133773.48476648409</v>
      </c>
      <c r="L50" s="123">
        <f t="shared" si="46"/>
        <v>151117.92248126748</v>
      </c>
      <c r="M50" s="123">
        <f t="shared" si="46"/>
        <v>169196.94032087913</v>
      </c>
      <c r="N50" s="123">
        <f t="shared" si="46"/>
        <v>188831.29498468988</v>
      </c>
    </row>
    <row r="51" spans="1:17" x14ac:dyDescent="0.25">
      <c r="A51" s="60" t="s">
        <v>525</v>
      </c>
      <c r="B51" s="69"/>
      <c r="C51" s="69"/>
      <c r="D51" s="69"/>
      <c r="E51" s="130">
        <f>E50/E6</f>
        <v>5.3497667943497126E-2</v>
      </c>
      <c r="F51" s="130">
        <f t="shared" ref="F51:N51" si="47">F50/F6</f>
        <v>4.664644326600375E-2</v>
      </c>
      <c r="G51" s="130">
        <f t="shared" si="47"/>
        <v>4.4182247608398693E-2</v>
      </c>
      <c r="H51" s="130">
        <f t="shared" si="47"/>
        <v>5.6919701799637915E-2</v>
      </c>
      <c r="I51" s="130">
        <f t="shared" si="47"/>
        <v>5.7098003949472446E-2</v>
      </c>
      <c r="J51" s="131">
        <f t="shared" si="47"/>
        <v>4.8174026804284995E-2</v>
      </c>
      <c r="K51" s="131">
        <f t="shared" si="47"/>
        <v>4.9838210665769399E-2</v>
      </c>
      <c r="L51" s="131">
        <f t="shared" si="47"/>
        <v>5.0373126906960657E-2</v>
      </c>
      <c r="M51" s="131">
        <f t="shared" si="47"/>
        <v>5.0581149889646168E-2</v>
      </c>
      <c r="N51" s="131">
        <f t="shared" si="47"/>
        <v>5.0673604548617621E-2</v>
      </c>
    </row>
    <row r="54" spans="1:17" x14ac:dyDescent="0.25">
      <c r="A54" s="143" t="s">
        <v>539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25"/>
      <c r="N54" s="125"/>
      <c r="O54" s="125"/>
      <c r="P54" s="125"/>
      <c r="Q54" s="125"/>
    </row>
    <row r="56" spans="1:17" x14ac:dyDescent="0.25">
      <c r="A56" s="129" t="s">
        <v>526</v>
      </c>
      <c r="B56" s="129"/>
      <c r="C56" s="129"/>
      <c r="D56" s="129"/>
    </row>
    <row r="57" spans="1:17" x14ac:dyDescent="0.25">
      <c r="A57" s="820" t="s">
        <v>1516</v>
      </c>
      <c r="B57" s="811"/>
      <c r="C57" s="811"/>
      <c r="D57" s="811"/>
      <c r="E57" s="108">
        <f>Rozvaha!C1</f>
        <v>2012</v>
      </c>
      <c r="F57" s="108">
        <f>Rozvaha!D1</f>
        <v>2013</v>
      </c>
      <c r="G57" s="108">
        <f>Rozvaha!E1</f>
        <v>2014</v>
      </c>
      <c r="H57" s="108">
        <f>Rozvaha!F1</f>
        <v>2015</v>
      </c>
      <c r="I57" s="108">
        <f>Rozvaha!G1</f>
        <v>2016</v>
      </c>
      <c r="J57" s="109">
        <f>I57+1</f>
        <v>2017</v>
      </c>
      <c r="K57" s="109">
        <f t="shared" ref="K57:N57" si="48">J57+1</f>
        <v>2018</v>
      </c>
      <c r="L57" s="109">
        <f t="shared" si="48"/>
        <v>2019</v>
      </c>
      <c r="M57" s="109">
        <f t="shared" si="48"/>
        <v>2020</v>
      </c>
      <c r="N57" s="109">
        <f t="shared" si="48"/>
        <v>2021</v>
      </c>
    </row>
    <row r="58" spans="1:17" x14ac:dyDescent="0.25">
      <c r="A58" s="60" t="s">
        <v>489</v>
      </c>
      <c r="B58" s="69"/>
      <c r="C58" s="69"/>
      <c r="D58" s="69"/>
      <c r="E58" s="132">
        <f>E78/E6*365</f>
        <v>27.573727580788354</v>
      </c>
      <c r="F58" s="132">
        <f t="shared" ref="F58:I58" si="49">F78/F6*365</f>
        <v>28.433118459701287</v>
      </c>
      <c r="G58" s="132">
        <f t="shared" si="49"/>
        <v>27.595530290704719</v>
      </c>
      <c r="H58" s="132">
        <f t="shared" si="49"/>
        <v>27.2508782714688</v>
      </c>
      <c r="I58" s="132">
        <f t="shared" si="49"/>
        <v>25.980005430767928</v>
      </c>
      <c r="J58" s="133">
        <f>J59+J60</f>
        <v>28.240588904340886</v>
      </c>
      <c r="K58" s="133">
        <f t="shared" ref="K58:N58" si="50">K59+K60</f>
        <v>27.824428476886283</v>
      </c>
      <c r="L58" s="133">
        <f t="shared" si="50"/>
        <v>27.690662625204446</v>
      </c>
      <c r="M58" s="133">
        <f t="shared" si="50"/>
        <v>27.638642571772621</v>
      </c>
      <c r="N58" s="133">
        <f t="shared" si="50"/>
        <v>27.61552254802514</v>
      </c>
    </row>
    <row r="59" spans="1:17" x14ac:dyDescent="0.25">
      <c r="A59" s="69"/>
      <c r="B59" s="69" t="s">
        <v>527</v>
      </c>
      <c r="C59" s="69"/>
      <c r="D59" s="69"/>
      <c r="E59" s="110">
        <f>Rozvaha!C34/Generátory!E6*365</f>
        <v>0.50671412752465794</v>
      </c>
      <c r="F59" s="110">
        <f>Rozvaha!D34/Generátory!F6*365</f>
        <v>0.39166237485355954</v>
      </c>
      <c r="G59" s="110">
        <f>Rozvaha!E34/Generátory!G6*365</f>
        <v>0.40612726016014256</v>
      </c>
      <c r="H59" s="110">
        <f>Rozvaha!F34/Generátory!H6*365</f>
        <v>0.43526457994013179</v>
      </c>
      <c r="I59" s="110">
        <f>Rozvaha!G34/Generátory!I6*365</f>
        <v>0.35346221187975618</v>
      </c>
      <c r="J59" s="111">
        <f>TREND(E59:I59)</f>
        <v>0.47122643611229587</v>
      </c>
      <c r="K59" s="111">
        <f>TREND(E59:J59)</f>
        <v>0.44618818599770238</v>
      </c>
      <c r="L59" s="111">
        <f>TREND(E59:K59)</f>
        <v>0.4381401770322973</v>
      </c>
      <c r="M59" s="112">
        <f>TREND(E59:L59)</f>
        <v>0.43501039576797318</v>
      </c>
      <c r="N59" s="112">
        <f>TREND(E59:M59)</f>
        <v>0.43361938187271798</v>
      </c>
    </row>
    <row r="60" spans="1:17" x14ac:dyDescent="0.25">
      <c r="A60" s="69"/>
      <c r="B60" s="69" t="s">
        <v>528</v>
      </c>
      <c r="C60" s="69"/>
      <c r="D60" s="69"/>
      <c r="E60" s="110">
        <f>Rozvaha!C38/Generátory!E6*365</f>
        <v>27.067013453263698</v>
      </c>
      <c r="F60" s="110">
        <f>Rozvaha!D38/Generátory!F6*365</f>
        <v>28.041456084847727</v>
      </c>
      <c r="G60" s="110">
        <f>Rozvaha!E38/Generátory!G6*365</f>
        <v>27.189403030544579</v>
      </c>
      <c r="H60" s="110">
        <f>Rozvaha!F38/Generátory!H6*365</f>
        <v>26.815613691528668</v>
      </c>
      <c r="I60" s="110">
        <f>Rozvaha!G38/Generátory!I6*365</f>
        <v>25.62654321888817</v>
      </c>
      <c r="J60" s="111">
        <f>TREND(E60:I60)</f>
        <v>27.769362468228589</v>
      </c>
      <c r="K60" s="111">
        <f>TREND(E60:J60)</f>
        <v>27.378240290888581</v>
      </c>
      <c r="L60" s="111">
        <f>TREND(E60:K60)</f>
        <v>27.252522448172147</v>
      </c>
      <c r="M60" s="112">
        <f>TREND(E60:L60)</f>
        <v>27.203632176004646</v>
      </c>
      <c r="N60" s="112">
        <f>TREND(E60:M60)</f>
        <v>27.181903166152424</v>
      </c>
    </row>
    <row r="62" spans="1:17" x14ac:dyDescent="0.25">
      <c r="A62" s="60" t="s">
        <v>490</v>
      </c>
      <c r="B62" s="69"/>
      <c r="C62" s="69"/>
      <c r="D62" s="69"/>
      <c r="E62" s="110">
        <f>E79/E6*365</f>
        <v>11.217490493240023</v>
      </c>
      <c r="F62" s="110">
        <f t="shared" ref="F62:I62" si="51">F79/F6*365</f>
        <v>9.218112771869853</v>
      </c>
      <c r="G62" s="110">
        <f t="shared" si="51"/>
        <v>9.2982816285928607</v>
      </c>
      <c r="H62" s="110">
        <f t="shared" si="51"/>
        <v>9.0661486819062347</v>
      </c>
      <c r="I62" s="110">
        <f t="shared" si="51"/>
        <v>10.5019129344736</v>
      </c>
      <c r="J62" s="111">
        <f>TREND(E62:I62)</f>
        <v>10.177013143515808</v>
      </c>
      <c r="K62" s="111">
        <f>TREND(E62:J62)</f>
        <v>10.026239885659002</v>
      </c>
      <c r="L62" s="111">
        <f>TREND(E62:K62)</f>
        <v>9.9777770527764549</v>
      </c>
      <c r="M62" s="112">
        <f>TREND(E62:L62)</f>
        <v>9.9589303955443551</v>
      </c>
      <c r="N62" s="112">
        <f>TREND(E62:M62)</f>
        <v>9.9505541034412008</v>
      </c>
    </row>
    <row r="64" spans="1:17" x14ac:dyDescent="0.25">
      <c r="A64" s="60" t="s">
        <v>491</v>
      </c>
      <c r="B64" s="69"/>
      <c r="C64" s="69"/>
      <c r="D64" s="69"/>
      <c r="E64" s="110">
        <f>E82/E6*365</f>
        <v>30.055470572461864</v>
      </c>
      <c r="F64" s="110">
        <f t="shared" ref="F64:I64" si="52">F82/F6*365</f>
        <v>34.678232867176405</v>
      </c>
      <c r="G64" s="110">
        <f t="shared" si="52"/>
        <v>35.79419944551757</v>
      </c>
      <c r="H64" s="110">
        <f t="shared" si="52"/>
        <v>37.224952627209412</v>
      </c>
      <c r="I64" s="110">
        <f t="shared" si="52"/>
        <v>35.657765268195263</v>
      </c>
      <c r="J64" s="133">
        <f>J65+J66+J67+J68</f>
        <v>31.931862325812141</v>
      </c>
      <c r="K64" s="133">
        <f t="shared" ref="K64:N64" si="53">K65+K66+K67+K68</f>
        <v>33.241510816431173</v>
      </c>
      <c r="L64" s="133">
        <f t="shared" si="53"/>
        <v>33.662469259844421</v>
      </c>
      <c r="M64" s="133">
        <f t="shared" si="53"/>
        <v>33.82617532117181</v>
      </c>
      <c r="N64" s="133">
        <f t="shared" si="53"/>
        <v>33.898933570650641</v>
      </c>
    </row>
    <row r="65" spans="1:14" x14ac:dyDescent="0.25">
      <c r="A65" s="69"/>
      <c r="B65" s="69" t="s">
        <v>529</v>
      </c>
      <c r="C65" s="69"/>
      <c r="D65" s="69"/>
      <c r="E65" s="110">
        <f>Rozvaha!C104/Generátory!E6*365</f>
        <v>20.993239328601142</v>
      </c>
      <c r="F65" s="110">
        <f>Rozvaha!D104/Generátory!F6*365</f>
        <v>23.91867249975947</v>
      </c>
      <c r="G65" s="110">
        <f>Rozvaha!E104/Generátory!G6*365</f>
        <v>23.898935258334433</v>
      </c>
      <c r="H65" s="110">
        <f>Rozvaha!F104/Generátory!H6*365</f>
        <v>26.73002579361307</v>
      </c>
      <c r="I65" s="110">
        <f>Rozvaha!G104/Generátory!I6*365</f>
        <v>25.856382466210992</v>
      </c>
      <c r="J65" s="111">
        <f>TREND(E65:I65)</f>
        <v>21.771923155489162</v>
      </c>
      <c r="K65" s="111">
        <f>TREND(E65:J65)</f>
        <v>22.965984066829474</v>
      </c>
      <c r="L65" s="111">
        <f>TREND(E65:K65)</f>
        <v>23.349789359760287</v>
      </c>
      <c r="M65" s="112">
        <f>TREND(E65:L65)</f>
        <v>23.499046973677828</v>
      </c>
      <c r="N65" s="112">
        <f>TREND(E65:M65)</f>
        <v>23.56538369097451</v>
      </c>
    </row>
    <row r="66" spans="1:14" x14ac:dyDescent="0.25">
      <c r="A66" s="69"/>
      <c r="B66" s="69" t="s">
        <v>530</v>
      </c>
      <c r="C66" s="69"/>
      <c r="D66" s="69"/>
      <c r="E66" s="110">
        <f>Rozvaha!C108/Generátory!E6*365</f>
        <v>7.4470546063847083</v>
      </c>
      <c r="F66" s="110">
        <f>Rozvaha!D108/Generátory!F6*365</f>
        <v>8.9206476770443643</v>
      </c>
      <c r="G66" s="110">
        <f>Rozvaha!E108/Generátory!G6*365</f>
        <v>9.9156428906027347</v>
      </c>
      <c r="H66" s="110">
        <f>Rozvaha!F108/Generátory!H6*365</f>
        <v>8.6678950848485226</v>
      </c>
      <c r="I66" s="110">
        <f>Rozvaha!G108/Generátory!I6*365</f>
        <v>8.1132899066550266</v>
      </c>
      <c r="J66" s="111">
        <f>TREND(E66:I66)</f>
        <v>8.3969624314381122</v>
      </c>
      <c r="K66" s="111">
        <f>TREND(E66:J66)</f>
        <v>8.4997927179471411</v>
      </c>
      <c r="L66" s="111">
        <f>TREND(E66:K66)</f>
        <v>8.5328453100393276</v>
      </c>
      <c r="M66" s="112">
        <f>TREND(E66:L66)</f>
        <v>8.5456990958529584</v>
      </c>
      <c r="N66" s="112">
        <f>TREND(E66:M66)</f>
        <v>8.5514118895479019</v>
      </c>
    </row>
    <row r="67" spans="1:14" x14ac:dyDescent="0.25">
      <c r="A67" s="69"/>
      <c r="B67" s="69" t="s">
        <v>531</v>
      </c>
      <c r="C67" s="69"/>
      <c r="D67" s="69"/>
      <c r="E67" s="110">
        <f>Rozvaha!C109/Generátory!E6*365</f>
        <v>0.75510141701782985</v>
      </c>
      <c r="F67" s="110">
        <f>Rozvaha!D109/Generátory!F6*365</f>
        <v>0.76308059742038448</v>
      </c>
      <c r="G67" s="110">
        <f>Rozvaha!E109/Generátory!G6*365</f>
        <v>0.72337681765520989</v>
      </c>
      <c r="H67" s="110">
        <f>Rozvaha!F109/Generátory!H6*365</f>
        <v>0.72518394585242496</v>
      </c>
      <c r="I67" s="110">
        <f>Rozvaha!G109/Generátory!I6*365</f>
        <v>0.700885370893225</v>
      </c>
      <c r="J67" s="111">
        <f>TREND(E67:I67)</f>
        <v>0.76279137853124868</v>
      </c>
      <c r="K67" s="111">
        <f>TREND(E67:J67)</f>
        <v>0.74885530769151831</v>
      </c>
      <c r="L67" s="111">
        <f>TREND(E67:K67)</f>
        <v>0.74437585635017633</v>
      </c>
      <c r="M67" s="112">
        <f>TREND(E67:L67)</f>
        <v>0.74263384749521011</v>
      </c>
      <c r="N67" s="112">
        <f>TREND(E67:M67)</f>
        <v>0.74185962133744721</v>
      </c>
    </row>
    <row r="68" spans="1:14" x14ac:dyDescent="0.25">
      <c r="A68" s="69"/>
      <c r="B68" s="69" t="s">
        <v>532</v>
      </c>
      <c r="C68" s="69"/>
      <c r="D68" s="69"/>
      <c r="E68" s="110">
        <f>Rozvaha!C110/Generátory!E6*365</f>
        <v>0.86007522045818618</v>
      </c>
      <c r="F68" s="110">
        <f>Rozvaha!D110/Generátory!F6*365</f>
        <v>1.0758320929521825</v>
      </c>
      <c r="G68" s="110">
        <f>Rozvaha!E110/Generátory!G6*365</f>
        <v>1.2562444789251908</v>
      </c>
      <c r="H68" s="110">
        <f>Rozvaha!F110/Generátory!H6*365</f>
        <v>1.1018478028953911</v>
      </c>
      <c r="I68" s="110">
        <f>Rozvaha!G110/Generátory!I6*365</f>
        <v>0.98720752443602244</v>
      </c>
      <c r="J68" s="111">
        <f>TREND(E68:I68)</f>
        <v>1.0001853603536184</v>
      </c>
      <c r="K68" s="111">
        <f>TREND(E68:J68)</f>
        <v>1.0268787239630355</v>
      </c>
      <c r="L68" s="111">
        <f>TREND(E68:K68)</f>
        <v>1.0354587336946339</v>
      </c>
      <c r="M68" s="112">
        <f>TREND(E68:L68)</f>
        <v>1.0387954041458112</v>
      </c>
      <c r="N68" s="112">
        <f>TREND(E68:M68)</f>
        <v>1.0402783687907788</v>
      </c>
    </row>
    <row r="70" spans="1:14" x14ac:dyDescent="0.25">
      <c r="A70" s="129" t="s">
        <v>533</v>
      </c>
      <c r="B70" s="129"/>
      <c r="C70" s="129"/>
      <c r="D70" s="129"/>
    </row>
    <row r="71" spans="1:14" x14ac:dyDescent="0.25">
      <c r="A71" s="69" t="s">
        <v>534</v>
      </c>
      <c r="B71" s="69"/>
      <c r="C71" s="69"/>
      <c r="D71" s="69"/>
      <c r="E71" s="90">
        <f>Rozvaha!C58</f>
        <v>12331</v>
      </c>
      <c r="F71" s="90">
        <f>Rozvaha!D58</f>
        <v>22977</v>
      </c>
      <c r="G71" s="90">
        <f>Rozvaha!E58</f>
        <v>32331</v>
      </c>
      <c r="H71" s="90">
        <f>Rozvaha!F58</f>
        <v>43058</v>
      </c>
      <c r="I71" s="90">
        <f>Rozvaha!G58</f>
        <v>50816</v>
      </c>
      <c r="J71" s="135"/>
      <c r="K71" s="135"/>
      <c r="L71" s="135"/>
      <c r="M71" s="136"/>
      <c r="N71" s="136"/>
    </row>
    <row r="72" spans="1:14" x14ac:dyDescent="0.25">
      <c r="A72" s="69" t="s">
        <v>535</v>
      </c>
      <c r="B72" s="69"/>
      <c r="C72" s="69"/>
      <c r="D72" s="69"/>
      <c r="E72" s="134">
        <f>E71/E82</f>
        <v>0.10402922368265645</v>
      </c>
      <c r="F72" s="134">
        <f t="shared" ref="F72:I72" si="54">F71/F82</f>
        <v>0.13687051002537617</v>
      </c>
      <c r="G72" s="134">
        <f t="shared" si="54"/>
        <v>0.17999665961474223</v>
      </c>
      <c r="H72" s="134">
        <f t="shared" si="54"/>
        <v>0.22297136347159649</v>
      </c>
      <c r="I72" s="134">
        <f t="shared" si="54"/>
        <v>0.25312571605048967</v>
      </c>
      <c r="J72" s="135"/>
      <c r="K72" s="135"/>
      <c r="L72" s="135"/>
      <c r="M72" s="136"/>
      <c r="N72" s="136"/>
    </row>
    <row r="73" spans="1:14" x14ac:dyDescent="0.25">
      <c r="A73" s="60" t="s">
        <v>492</v>
      </c>
      <c r="B73" s="69"/>
      <c r="C73" s="69"/>
      <c r="D73" s="69"/>
      <c r="E73" s="90">
        <f>IF(E72&lt;E74,E71,E82*E$74)</f>
        <v>12331</v>
      </c>
      <c r="F73" s="90">
        <f t="shared" ref="F73:I73" si="55">IF(F72&lt;F74,F71,F82*F$74)</f>
        <v>22977</v>
      </c>
      <c r="G73" s="90">
        <f t="shared" si="55"/>
        <v>26943</v>
      </c>
      <c r="H73" s="90">
        <f t="shared" si="55"/>
        <v>28966.5</v>
      </c>
      <c r="I73" s="90">
        <f t="shared" si="55"/>
        <v>30113.1</v>
      </c>
      <c r="J73" s="123">
        <f>J82*J74</f>
        <v>24437.887691579395</v>
      </c>
      <c r="K73" s="123">
        <f t="shared" ref="K73:N73" si="56">K82*K74</f>
        <v>31087.708553972581</v>
      </c>
      <c r="L73" s="123">
        <f t="shared" si="56"/>
        <v>36075.387624154508</v>
      </c>
      <c r="M73" s="123">
        <f t="shared" si="56"/>
        <v>40808.542709457928</v>
      </c>
      <c r="N73" s="123">
        <f t="shared" si="56"/>
        <v>45751.233902005697</v>
      </c>
    </row>
    <row r="74" spans="1:14" x14ac:dyDescent="0.25">
      <c r="A74" s="69" t="s">
        <v>493</v>
      </c>
      <c r="B74" s="69"/>
      <c r="C74" s="69"/>
      <c r="D74" s="69"/>
      <c r="E74" s="134">
        <f>IF(E72&gt;0.15,0.15,E72)</f>
        <v>0.10402922368265645</v>
      </c>
      <c r="F74" s="134">
        <f t="shared" ref="F74:I74" si="57">IF(F72&gt;0.15,0.15,F72)</f>
        <v>0.13687051002537617</v>
      </c>
      <c r="G74" s="134">
        <f t="shared" si="57"/>
        <v>0.15</v>
      </c>
      <c r="H74" s="134">
        <f t="shared" si="57"/>
        <v>0.15</v>
      </c>
      <c r="I74" s="134">
        <f t="shared" si="57"/>
        <v>0.15</v>
      </c>
      <c r="J74" s="111">
        <f>TREND(E74:I74)</f>
        <v>0.11716573821974437</v>
      </c>
      <c r="K74" s="111">
        <f>TREND(E74:J74)</f>
        <v>0.12717250418253587</v>
      </c>
      <c r="L74" s="111">
        <f>TREND(E74:K74)</f>
        <v>0.13038896467057601</v>
      </c>
      <c r="M74" s="111">
        <f>TREND(E74:L74)</f>
        <v>0.13163981041592493</v>
      </c>
      <c r="N74" s="111">
        <f>TREND(E74:M74)</f>
        <v>0.13219574185830224</v>
      </c>
    </row>
    <row r="76" spans="1:14" x14ac:dyDescent="0.25">
      <c r="A76" s="129" t="s">
        <v>536</v>
      </c>
      <c r="B76" s="129"/>
      <c r="C76" s="129"/>
      <c r="D76" s="129"/>
    </row>
    <row r="77" spans="1:14" x14ac:dyDescent="0.25">
      <c r="A77" s="820" t="s">
        <v>1516</v>
      </c>
      <c r="B77" s="811"/>
      <c r="C77" s="811"/>
      <c r="D77" s="811"/>
      <c r="E77" s="108">
        <f>Rozvaha!C1</f>
        <v>2012</v>
      </c>
      <c r="F77" s="108">
        <f>Rozvaha!D1</f>
        <v>2013</v>
      </c>
      <c r="G77" s="108">
        <f>Rozvaha!E1</f>
        <v>2014</v>
      </c>
      <c r="H77" s="108">
        <f>Rozvaha!F1</f>
        <v>2015</v>
      </c>
      <c r="I77" s="108">
        <f>Rozvaha!G1</f>
        <v>2016</v>
      </c>
      <c r="J77" s="109">
        <f>I77+1</f>
        <v>2017</v>
      </c>
      <c r="K77" s="109">
        <f t="shared" ref="K77:N77" si="58">J77+1</f>
        <v>2018</v>
      </c>
      <c r="L77" s="109">
        <f t="shared" si="58"/>
        <v>2019</v>
      </c>
      <c r="M77" s="109">
        <f t="shared" si="58"/>
        <v>2020</v>
      </c>
      <c r="N77" s="109">
        <f t="shared" si="58"/>
        <v>2021</v>
      </c>
    </row>
    <row r="78" spans="1:14" x14ac:dyDescent="0.25">
      <c r="A78" s="69" t="s">
        <v>61</v>
      </c>
      <c r="B78" s="69"/>
      <c r="C78" s="69"/>
      <c r="D78" s="69"/>
      <c r="E78" s="117">
        <f>Rozvaha!C33</f>
        <v>108746.4</v>
      </c>
      <c r="F78" s="117">
        <f>Rozvaha!D33</f>
        <v>137642</v>
      </c>
      <c r="G78" s="117">
        <f>Rozvaha!E33</f>
        <v>138478</v>
      </c>
      <c r="H78" s="117">
        <f>Rozvaha!F33</f>
        <v>141368</v>
      </c>
      <c r="I78" s="117">
        <f>Rozvaha!G33</f>
        <v>146268</v>
      </c>
      <c r="J78" s="123">
        <f>J58*J6/365</f>
        <v>184464.3866368942</v>
      </c>
      <c r="K78" s="123">
        <f t="shared" ref="K78:N78" si="59">K58*K6/365</f>
        <v>204616.65799376264</v>
      </c>
      <c r="L78" s="123">
        <f t="shared" si="59"/>
        <v>227592.29113763702</v>
      </c>
      <c r="M78" s="123">
        <f t="shared" si="59"/>
        <v>253295.60371684044</v>
      </c>
      <c r="N78" s="123">
        <f t="shared" si="59"/>
        <v>281937.32481690688</v>
      </c>
    </row>
    <row r="79" spans="1:14" x14ac:dyDescent="0.25">
      <c r="A79" s="69" t="s">
        <v>494</v>
      </c>
      <c r="B79" s="69"/>
      <c r="C79" s="69"/>
      <c r="D79" s="69"/>
      <c r="E79" s="117">
        <f>Rozvaha!C40</f>
        <v>44240</v>
      </c>
      <c r="F79" s="117">
        <f>Rozvaha!D40</f>
        <v>44624</v>
      </c>
      <c r="G79" s="117">
        <f>Rozvaha!E40</f>
        <v>46660</v>
      </c>
      <c r="H79" s="117">
        <f>Rozvaha!F40</f>
        <v>47032</v>
      </c>
      <c r="I79" s="117">
        <f>Rozvaha!G40</f>
        <v>59126</v>
      </c>
      <c r="J79" s="123">
        <f>J62*J6/365</f>
        <v>66475.118265883386</v>
      </c>
      <c r="K79" s="123">
        <f t="shared" ref="K79:N79" si="60">K62*K6/365</f>
        <v>73731.458647983294</v>
      </c>
      <c r="L79" s="123">
        <f t="shared" si="60"/>
        <v>82008.335106974235</v>
      </c>
      <c r="M79" s="123">
        <f t="shared" si="60"/>
        <v>91269.073014811758</v>
      </c>
      <c r="N79" s="123">
        <f t="shared" si="60"/>
        <v>101588.97408119954</v>
      </c>
    </row>
    <row r="80" spans="1:14" x14ac:dyDescent="0.25">
      <c r="A80" s="69" t="s">
        <v>537</v>
      </c>
      <c r="B80" s="69"/>
      <c r="C80" s="69"/>
      <c r="D80" s="69"/>
      <c r="E80" s="117">
        <f>E73</f>
        <v>12331</v>
      </c>
      <c r="F80" s="117">
        <f t="shared" ref="F80:I80" si="61">F73</f>
        <v>22977</v>
      </c>
      <c r="G80" s="117">
        <f t="shared" si="61"/>
        <v>26943</v>
      </c>
      <c r="H80" s="117">
        <f t="shared" si="61"/>
        <v>28966.5</v>
      </c>
      <c r="I80" s="117">
        <f t="shared" si="61"/>
        <v>30113.1</v>
      </c>
      <c r="J80" s="123">
        <f>J73</f>
        <v>24437.887691579395</v>
      </c>
      <c r="K80" s="123">
        <f t="shared" ref="K80:N80" si="62">K73</f>
        <v>31087.708553972581</v>
      </c>
      <c r="L80" s="123">
        <f t="shared" si="62"/>
        <v>36075.387624154508</v>
      </c>
      <c r="M80" s="123">
        <f t="shared" si="62"/>
        <v>40808.542709457928</v>
      </c>
      <c r="N80" s="123">
        <f t="shared" si="62"/>
        <v>45751.233902005697</v>
      </c>
    </row>
    <row r="81" spans="1:17" x14ac:dyDescent="0.25">
      <c r="A81" s="69" t="s">
        <v>324</v>
      </c>
      <c r="B81" s="69"/>
      <c r="C81" s="69"/>
      <c r="D81" s="69"/>
      <c r="E81" s="117">
        <f>Rozvaha!C63</f>
        <v>2150</v>
      </c>
      <c r="F81" s="117">
        <f>Rozvaha!D63</f>
        <v>3748</v>
      </c>
      <c r="G81" s="117">
        <f>Rozvaha!E63</f>
        <v>3202</v>
      </c>
      <c r="H81" s="117">
        <f>Rozvaha!F63</f>
        <v>9038</v>
      </c>
      <c r="I81" s="117">
        <f>Rozvaha!G63</f>
        <v>13886</v>
      </c>
      <c r="J81" s="123">
        <f>$I$81</f>
        <v>13886</v>
      </c>
      <c r="K81" s="123">
        <f t="shared" ref="K81:N81" si="63">$I$81</f>
        <v>13886</v>
      </c>
      <c r="L81" s="123">
        <f t="shared" si="63"/>
        <v>13886</v>
      </c>
      <c r="M81" s="123">
        <f t="shared" si="63"/>
        <v>13886</v>
      </c>
      <c r="N81" s="123">
        <f t="shared" si="63"/>
        <v>13886</v>
      </c>
    </row>
    <row r="82" spans="1:17" x14ac:dyDescent="0.25">
      <c r="A82" s="69" t="s">
        <v>495</v>
      </c>
      <c r="B82" s="69"/>
      <c r="C82" s="69"/>
      <c r="D82" s="69"/>
      <c r="E82" s="117">
        <f>Rozvaha!C103</f>
        <v>118534</v>
      </c>
      <c r="F82" s="117">
        <f>Rozvaha!D103</f>
        <v>167874</v>
      </c>
      <c r="G82" s="117">
        <f>Rozvaha!E103</f>
        <v>179620</v>
      </c>
      <c r="H82" s="117">
        <f>Rozvaha!F103</f>
        <v>193110</v>
      </c>
      <c r="I82" s="117">
        <f>Rozvaha!G103</f>
        <v>200754</v>
      </c>
      <c r="J82" s="123">
        <f>J64*J6/365</f>
        <v>208575.37419126855</v>
      </c>
      <c r="K82" s="123">
        <f t="shared" ref="K82:N82" si="64">K64*K6/365</f>
        <v>244453.06596582488</v>
      </c>
      <c r="L82" s="123">
        <f t="shared" si="64"/>
        <v>276675.15970617562</v>
      </c>
      <c r="M82" s="123">
        <f t="shared" si="64"/>
        <v>310001.53054399398</v>
      </c>
      <c r="N82" s="123">
        <f t="shared" si="64"/>
        <v>346087.04682065675</v>
      </c>
    </row>
    <row r="83" spans="1:17" x14ac:dyDescent="0.25">
      <c r="A83" s="69" t="s">
        <v>331</v>
      </c>
      <c r="B83" s="69"/>
      <c r="C83" s="69"/>
      <c r="D83" s="69"/>
      <c r="E83" s="117">
        <f>Rozvaha!C119</f>
        <v>30044</v>
      </c>
      <c r="F83" s="117">
        <f>Rozvaha!D119</f>
        <v>34970</v>
      </c>
      <c r="G83" s="117">
        <f>Rozvaha!E119</f>
        <v>19580</v>
      </c>
      <c r="H83" s="117">
        <f>Rozvaha!F119</f>
        <v>13574</v>
      </c>
      <c r="I83" s="117">
        <f>Rozvaha!G119</f>
        <v>11916</v>
      </c>
      <c r="J83" s="123">
        <f>$I$83</f>
        <v>11916</v>
      </c>
      <c r="K83" s="123">
        <f t="shared" ref="K83:N83" si="65">$I$83</f>
        <v>11916</v>
      </c>
      <c r="L83" s="123">
        <f t="shared" si="65"/>
        <v>11916</v>
      </c>
      <c r="M83" s="123">
        <f t="shared" si="65"/>
        <v>11916</v>
      </c>
      <c r="N83" s="123">
        <f t="shared" si="65"/>
        <v>11916</v>
      </c>
    </row>
    <row r="84" spans="1:17" x14ac:dyDescent="0.25">
      <c r="A84" s="60" t="s">
        <v>486</v>
      </c>
      <c r="B84" s="69"/>
      <c r="C84" s="69"/>
      <c r="D84" s="69"/>
      <c r="E84" s="117">
        <f>E78+E79+E80+E81-E82-E83</f>
        <v>18889.399999999994</v>
      </c>
      <c r="F84" s="117">
        <f t="shared" ref="F84:I84" si="66">F78+F79+F80+F81-F82-F83</f>
        <v>6147</v>
      </c>
      <c r="G84" s="117">
        <f t="shared" si="66"/>
        <v>16083</v>
      </c>
      <c r="H84" s="117">
        <f t="shared" si="66"/>
        <v>19720.5</v>
      </c>
      <c r="I84" s="117">
        <f t="shared" si="66"/>
        <v>36723.100000000006</v>
      </c>
      <c r="J84" s="123">
        <f t="shared" ref="J84" si="67">J78+J79+J80+J81-J82-J83</f>
        <v>68772.018403088412</v>
      </c>
      <c r="K84" s="123">
        <f t="shared" ref="K84" si="68">K78+K79+K80+K81-K82-K83</f>
        <v>66952.759229893622</v>
      </c>
      <c r="L84" s="123">
        <f t="shared" ref="L84" si="69">L78+L79+L80+L81-L82-L83</f>
        <v>70970.854162590113</v>
      </c>
      <c r="M84" s="123">
        <f t="shared" ref="M84" si="70">M78+M79+M80+M81-M82-M83</f>
        <v>77341.688897116168</v>
      </c>
      <c r="N84" s="123">
        <f t="shared" ref="N84" si="71">N78+N79+N80+N81-N82-N83</f>
        <v>85160.485979455407</v>
      </c>
    </row>
    <row r="85" spans="1:17" x14ac:dyDescent="0.25">
      <c r="A85" s="60" t="s">
        <v>538</v>
      </c>
      <c r="B85" s="69"/>
      <c r="C85" s="69"/>
      <c r="D85" s="69"/>
      <c r="E85" s="785">
        <f>(I84-E84)/(I6-E6)</f>
        <v>2.8976401237456473E-2</v>
      </c>
      <c r="F85" s="785"/>
      <c r="G85" s="785"/>
      <c r="H85" s="785"/>
      <c r="I85" s="785"/>
      <c r="J85" s="786">
        <f>(N84-I84)/(N6-I6)</f>
        <v>2.8978997792713814E-2</v>
      </c>
      <c r="K85" s="786"/>
      <c r="L85" s="786"/>
      <c r="M85" s="786"/>
      <c r="N85" s="786"/>
    </row>
    <row r="88" spans="1:17" x14ac:dyDescent="0.25">
      <c r="A88" s="143" t="s">
        <v>540</v>
      </c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25"/>
      <c r="N88" s="125"/>
      <c r="O88" s="125"/>
      <c r="P88" s="125"/>
      <c r="Q88" s="125"/>
    </row>
    <row r="90" spans="1:17" x14ac:dyDescent="0.25">
      <c r="A90" s="129" t="s">
        <v>541</v>
      </c>
      <c r="B90" s="129"/>
      <c r="C90" s="129"/>
      <c r="D90" s="129"/>
      <c r="E90" s="129"/>
    </row>
    <row r="92" spans="1:17" x14ac:dyDescent="0.25">
      <c r="A92" s="90" t="s">
        <v>542</v>
      </c>
      <c r="B92" s="90"/>
      <c r="C92" s="90">
        <f>F77</f>
        <v>2013</v>
      </c>
      <c r="D92" s="92" t="s">
        <v>543</v>
      </c>
      <c r="E92" s="137">
        <f>I77</f>
        <v>2016</v>
      </c>
      <c r="F92" s="138"/>
      <c r="G92" s="139">
        <f>SUM(F6:I6)</f>
        <v>7546998</v>
      </c>
    </row>
    <row r="94" spans="1:17" x14ac:dyDescent="0.25">
      <c r="A94" s="820" t="s">
        <v>1516</v>
      </c>
      <c r="B94" s="811"/>
      <c r="C94" s="811"/>
      <c r="D94" s="811"/>
      <c r="E94" s="108">
        <f>Rozvaha!C1</f>
        <v>2012</v>
      </c>
      <c r="F94" s="108">
        <f>Rozvaha!D1</f>
        <v>2013</v>
      </c>
      <c r="G94" s="108">
        <f>Rozvaha!E1</f>
        <v>2014</v>
      </c>
      <c r="H94" s="108">
        <f>Rozvaha!F1</f>
        <v>2015</v>
      </c>
      <c r="I94" s="108">
        <f>Rozvaha!G1</f>
        <v>2016</v>
      </c>
    </row>
    <row r="95" spans="1:17" x14ac:dyDescent="0.25">
      <c r="A95" s="142" t="s">
        <v>496</v>
      </c>
      <c r="B95" s="142"/>
      <c r="C95" s="142"/>
      <c r="D95" s="142"/>
    </row>
    <row r="96" spans="1:17" x14ac:dyDescent="0.25">
      <c r="A96" s="69" t="s">
        <v>497</v>
      </c>
      <c r="B96" s="69"/>
      <c r="C96" s="69"/>
      <c r="D96" s="69"/>
      <c r="E96" s="117">
        <f>Rozvaha!C8</f>
        <v>648</v>
      </c>
      <c r="F96" s="117">
        <f>Rozvaha!D8</f>
        <v>992</v>
      </c>
      <c r="G96" s="117">
        <f>Rozvaha!E8</f>
        <v>1702</v>
      </c>
      <c r="H96" s="117">
        <f>Rozvaha!F8</f>
        <v>1874</v>
      </c>
      <c r="I96" s="117">
        <f>Rozvaha!G8</f>
        <v>2164</v>
      </c>
    </row>
    <row r="97" spans="1:9" x14ac:dyDescent="0.25">
      <c r="A97" s="69" t="s">
        <v>484</v>
      </c>
      <c r="B97" s="69"/>
      <c r="C97" s="69"/>
      <c r="D97" s="69"/>
      <c r="E97" s="117"/>
      <c r="F97" s="117">
        <f>E96/F96*G97</f>
        <v>398.68943436499467</v>
      </c>
      <c r="G97" s="117">
        <f t="shared" ref="G97:I97" si="72">F96/G96*H97</f>
        <v>610.33938100320177</v>
      </c>
      <c r="H97" s="117">
        <f t="shared" si="72"/>
        <v>1047.1750266808965</v>
      </c>
      <c r="I97" s="823">
        <v>1153</v>
      </c>
    </row>
    <row r="98" spans="1:9" x14ac:dyDescent="0.25">
      <c r="A98" s="69" t="s">
        <v>485</v>
      </c>
      <c r="B98" s="69"/>
      <c r="C98" s="69"/>
      <c r="D98" s="69"/>
      <c r="E98" s="117"/>
      <c r="F98" s="117">
        <f>Rozvaha!D8-Rozvaha!C8</f>
        <v>344</v>
      </c>
      <c r="G98" s="117">
        <f>Rozvaha!E8-Rozvaha!D8</f>
        <v>710</v>
      </c>
      <c r="H98" s="117">
        <f>Rozvaha!F8-Rozvaha!E8</f>
        <v>172</v>
      </c>
      <c r="I98" s="117">
        <f>Rozvaha!G8-Rozvaha!F8</f>
        <v>290</v>
      </c>
    </row>
    <row r="99" spans="1:9" x14ac:dyDescent="0.25">
      <c r="A99" s="69" t="s">
        <v>498</v>
      </c>
      <c r="B99" s="69"/>
      <c r="C99" s="69"/>
      <c r="D99" s="69"/>
      <c r="E99" s="117"/>
      <c r="F99" s="117">
        <f>F97+F98</f>
        <v>742.68943436499467</v>
      </c>
      <c r="G99" s="117">
        <f t="shared" ref="G99:I99" si="73">G97+G98</f>
        <v>1320.3393810032017</v>
      </c>
      <c r="H99" s="117">
        <f t="shared" si="73"/>
        <v>1219.1750266808965</v>
      </c>
      <c r="I99" s="117">
        <f t="shared" si="73"/>
        <v>1443</v>
      </c>
    </row>
    <row r="100" spans="1:9" x14ac:dyDescent="0.25">
      <c r="A100" s="69" t="s">
        <v>544</v>
      </c>
      <c r="B100" s="69"/>
      <c r="C100" s="69"/>
      <c r="D100" s="69"/>
      <c r="E100" s="787">
        <f>SUM(F99:I99)/$G$92</f>
        <v>6.261037623236541E-4</v>
      </c>
      <c r="F100" s="787"/>
      <c r="G100" s="787"/>
      <c r="H100" s="787"/>
      <c r="I100" s="787"/>
    </row>
    <row r="101" spans="1:9" x14ac:dyDescent="0.25">
      <c r="A101" s="142" t="s">
        <v>35</v>
      </c>
      <c r="B101" s="142"/>
      <c r="C101" s="142"/>
      <c r="D101" s="142"/>
    </row>
    <row r="102" spans="1:9" x14ac:dyDescent="0.25">
      <c r="A102" s="69" t="s">
        <v>497</v>
      </c>
      <c r="B102" s="69"/>
      <c r="C102" s="69"/>
      <c r="D102" s="69"/>
      <c r="E102" s="117">
        <f>Rozvaha!C16</f>
        <v>317466</v>
      </c>
      <c r="F102" s="117">
        <f>Rozvaha!D16</f>
        <v>352702</v>
      </c>
      <c r="G102" s="117">
        <f>Rozvaha!E16</f>
        <v>336494</v>
      </c>
      <c r="H102" s="117">
        <f>Rozvaha!F16</f>
        <v>329438</v>
      </c>
      <c r="I102" s="117">
        <f>Rozvaha!G16</f>
        <v>351000</v>
      </c>
    </row>
    <row r="103" spans="1:9" x14ac:dyDescent="0.25">
      <c r="A103" s="69" t="s">
        <v>484</v>
      </c>
      <c r="B103" s="69"/>
      <c r="C103" s="69"/>
      <c r="D103" s="69"/>
      <c r="E103" s="117"/>
      <c r="F103" s="823">
        <v>15989</v>
      </c>
      <c r="G103" s="823">
        <v>16208</v>
      </c>
      <c r="H103" s="823">
        <v>15907</v>
      </c>
      <c r="I103" s="823">
        <v>16500</v>
      </c>
    </row>
    <row r="104" spans="1:9" x14ac:dyDescent="0.25">
      <c r="A104" s="69" t="s">
        <v>485</v>
      </c>
      <c r="B104" s="69"/>
      <c r="C104" s="69"/>
      <c r="D104" s="69"/>
      <c r="E104" s="117"/>
      <c r="F104" s="117">
        <f>Rozvaha!D16-Rozvaha!C16</f>
        <v>35236</v>
      </c>
      <c r="G104" s="117">
        <f>Rozvaha!E16-Rozvaha!D16</f>
        <v>-16208</v>
      </c>
      <c r="H104" s="117">
        <f>Rozvaha!F16-Rozvaha!E16</f>
        <v>-7056</v>
      </c>
      <c r="I104" s="117">
        <f>Rozvaha!G16-Rozvaha!F16</f>
        <v>21562</v>
      </c>
    </row>
    <row r="105" spans="1:9" x14ac:dyDescent="0.25">
      <c r="A105" s="69" t="s">
        <v>498</v>
      </c>
      <c r="B105" s="69"/>
      <c r="C105" s="69"/>
      <c r="D105" s="69"/>
      <c r="E105" s="117"/>
      <c r="F105" s="117">
        <f>F103+F104</f>
        <v>51225</v>
      </c>
      <c r="G105" s="117">
        <f t="shared" ref="G105:I105" si="74">G103+G104</f>
        <v>0</v>
      </c>
      <c r="H105" s="117">
        <f t="shared" si="74"/>
        <v>8851</v>
      </c>
      <c r="I105" s="117">
        <f t="shared" si="74"/>
        <v>38062</v>
      </c>
    </row>
    <row r="106" spans="1:9" x14ac:dyDescent="0.25">
      <c r="A106" s="69" t="s">
        <v>544</v>
      </c>
      <c r="B106" s="69"/>
      <c r="C106" s="69"/>
      <c r="D106" s="69"/>
      <c r="E106" s="787">
        <f>SUM(F105:I105)/$G$92</f>
        <v>1.3003581026522069E-2</v>
      </c>
      <c r="F106" s="787"/>
      <c r="G106" s="787"/>
      <c r="H106" s="787"/>
      <c r="I106" s="787"/>
    </row>
    <row r="107" spans="1:9" x14ac:dyDescent="0.25">
      <c r="A107" s="142" t="s">
        <v>500</v>
      </c>
      <c r="B107" s="142"/>
      <c r="C107" s="142"/>
      <c r="D107" s="142"/>
    </row>
    <row r="108" spans="1:9" x14ac:dyDescent="0.25">
      <c r="A108" s="69" t="s">
        <v>497</v>
      </c>
      <c r="B108" s="69"/>
      <c r="C108" s="69"/>
      <c r="D108" s="69"/>
      <c r="E108" s="117">
        <f>Rozvaha!C17</f>
        <v>38206</v>
      </c>
      <c r="F108" s="117">
        <f>Rozvaha!D17</f>
        <v>69476</v>
      </c>
      <c r="G108" s="117">
        <f>Rozvaha!E17</f>
        <v>80660</v>
      </c>
      <c r="H108" s="117">
        <f>Rozvaha!F17</f>
        <v>72646</v>
      </c>
      <c r="I108" s="117">
        <f>Rozvaha!G17</f>
        <v>84500</v>
      </c>
    </row>
    <row r="109" spans="1:9" x14ac:dyDescent="0.25">
      <c r="A109" s="69" t="s">
        <v>484</v>
      </c>
      <c r="B109" s="69"/>
      <c r="C109" s="69"/>
      <c r="D109" s="69"/>
      <c r="E109" s="117"/>
      <c r="F109" s="117">
        <f>VZZ!D19-Generátory!F97-Generátory!F103</f>
        <v>6708.3105656350053</v>
      </c>
      <c r="G109" s="117">
        <f>VZZ!E19-Generátory!G97-Generátory!G103</f>
        <v>18821.660618996801</v>
      </c>
      <c r="H109" s="117">
        <f>VZZ!F19-Generátory!H97-Generátory!H103</f>
        <v>28355.824973319104</v>
      </c>
      <c r="I109" s="117">
        <f>VZZ!G19-Generátory!I97-Generátory!I103</f>
        <v>27719</v>
      </c>
    </row>
    <row r="110" spans="1:9" x14ac:dyDescent="0.25">
      <c r="A110" s="69" t="s">
        <v>501</v>
      </c>
      <c r="B110" s="69"/>
      <c r="C110" s="69"/>
      <c r="D110" s="69"/>
      <c r="E110" s="117"/>
      <c r="F110" s="117">
        <f>VZZ!D24</f>
        <v>0</v>
      </c>
      <c r="G110" s="117">
        <f>VZZ!E24</f>
        <v>0</v>
      </c>
      <c r="H110" s="117">
        <f>VZZ!F24</f>
        <v>6656</v>
      </c>
      <c r="I110" s="117">
        <f>VZZ!G24</f>
        <v>0</v>
      </c>
    </row>
    <row r="111" spans="1:9" x14ac:dyDescent="0.25">
      <c r="A111" s="69" t="s">
        <v>485</v>
      </c>
      <c r="B111" s="69"/>
      <c r="C111" s="69"/>
      <c r="D111" s="69"/>
      <c r="E111" s="117"/>
      <c r="F111" s="117">
        <f>Rozvaha!D17-Rozvaha!C17</f>
        <v>31270</v>
      </c>
      <c r="G111" s="117">
        <f>Rozvaha!E17-Rozvaha!D17</f>
        <v>11184</v>
      </c>
      <c r="H111" s="117">
        <f>Rozvaha!F17-Rozvaha!E17</f>
        <v>-8014</v>
      </c>
      <c r="I111" s="117">
        <f>Rozvaha!G17-Rozvaha!F17</f>
        <v>11854</v>
      </c>
    </row>
    <row r="112" spans="1:9" x14ac:dyDescent="0.25">
      <c r="A112" s="69" t="s">
        <v>498</v>
      </c>
      <c r="B112" s="69"/>
      <c r="C112" s="69"/>
      <c r="D112" s="69"/>
      <c r="E112" s="117"/>
      <c r="F112" s="117">
        <f>F109+F110+F111</f>
        <v>37978.310565635009</v>
      </c>
      <c r="G112" s="117">
        <f t="shared" ref="G112:I112" si="75">G109+G110+G111</f>
        <v>30005.660618996801</v>
      </c>
      <c r="H112" s="117">
        <f t="shared" si="75"/>
        <v>26997.824973319104</v>
      </c>
      <c r="I112" s="117">
        <f t="shared" si="75"/>
        <v>39573</v>
      </c>
    </row>
    <row r="113" spans="1:12" x14ac:dyDescent="0.25">
      <c r="A113" s="69" t="s">
        <v>544</v>
      </c>
      <c r="B113" s="69"/>
      <c r="C113" s="69"/>
      <c r="D113" s="69"/>
      <c r="E113" s="787">
        <f>SUM(F112:I112)/$G$92</f>
        <v>1.7828916366209573E-2</v>
      </c>
      <c r="F113" s="787"/>
      <c r="G113" s="787"/>
      <c r="H113" s="787"/>
      <c r="I113" s="787"/>
    </row>
    <row r="115" spans="1:12" x14ac:dyDescent="0.25">
      <c r="A115" s="129" t="s">
        <v>545</v>
      </c>
      <c r="B115" s="129"/>
      <c r="C115" s="129"/>
      <c r="D115" s="129"/>
      <c r="E115" s="140"/>
    </row>
    <row r="117" spans="1:12" x14ac:dyDescent="0.25">
      <c r="A117" s="90" t="s">
        <v>542</v>
      </c>
      <c r="B117" s="90"/>
      <c r="C117" s="90">
        <f>J77</f>
        <v>2017</v>
      </c>
      <c r="D117" s="92" t="s">
        <v>543</v>
      </c>
      <c r="E117" s="137">
        <f>N77</f>
        <v>2021</v>
      </c>
      <c r="F117" s="783">
        <f>SUM(J6:N6)</f>
        <v>15139747.89352338</v>
      </c>
      <c r="G117" s="783"/>
    </row>
    <row r="119" spans="1:12" x14ac:dyDescent="0.25">
      <c r="A119" s="142" t="s">
        <v>546</v>
      </c>
      <c r="B119" s="107"/>
      <c r="C119" s="107"/>
      <c r="D119" s="107"/>
      <c r="E119" s="107"/>
      <c r="F119" s="107"/>
      <c r="G119" s="107"/>
      <c r="H119" s="107"/>
      <c r="I119" s="107"/>
    </row>
    <row r="120" spans="1:12" ht="30" customHeight="1" x14ac:dyDescent="0.25">
      <c r="A120" s="69" t="s">
        <v>547</v>
      </c>
      <c r="B120" s="69"/>
      <c r="C120" s="69"/>
      <c r="D120" s="69"/>
      <c r="E120" s="784" t="s">
        <v>553</v>
      </c>
      <c r="F120" s="784"/>
      <c r="G120" s="784" t="s">
        <v>554</v>
      </c>
      <c r="H120" s="784"/>
      <c r="I120" s="784"/>
    </row>
    <row r="121" spans="1:12" x14ac:dyDescent="0.25">
      <c r="A121" s="69" t="s">
        <v>496</v>
      </c>
      <c r="B121" s="69"/>
      <c r="C121" s="69"/>
      <c r="D121" s="69"/>
      <c r="E121" s="781">
        <f>E100</f>
        <v>6.261037623236541E-4</v>
      </c>
      <c r="F121" s="781"/>
      <c r="G121" s="780">
        <f>F117*E121</f>
        <v>9479.0531167666049</v>
      </c>
      <c r="H121" s="780"/>
      <c r="I121" s="780"/>
    </row>
    <row r="122" spans="1:12" x14ac:dyDescent="0.25">
      <c r="A122" s="69" t="s">
        <v>35</v>
      </c>
      <c r="B122" s="69"/>
      <c r="C122" s="69"/>
      <c r="D122" s="69"/>
      <c r="E122" s="781">
        <f>E106</f>
        <v>1.3003581026522069E-2</v>
      </c>
      <c r="F122" s="781"/>
      <c r="G122" s="780">
        <f>F117*E122</f>
        <v>196870.9384545481</v>
      </c>
      <c r="H122" s="780"/>
      <c r="I122" s="780"/>
    </row>
    <row r="123" spans="1:12" x14ac:dyDescent="0.25">
      <c r="A123" s="69" t="s">
        <v>500</v>
      </c>
      <c r="B123" s="69"/>
      <c r="C123" s="69"/>
      <c r="D123" s="69"/>
      <c r="E123" s="781">
        <f>E113</f>
        <v>1.7828916366209573E-2</v>
      </c>
      <c r="F123" s="781"/>
      <c r="G123" s="780">
        <f>F117*E123</f>
        <v>269925.29899912589</v>
      </c>
      <c r="H123" s="780"/>
      <c r="I123" s="780"/>
    </row>
    <row r="124" spans="1:12" x14ac:dyDescent="0.25">
      <c r="A124" s="60" t="s">
        <v>548</v>
      </c>
      <c r="B124" s="60"/>
      <c r="C124" s="60"/>
      <c r="D124" s="60"/>
      <c r="E124" s="782">
        <f>SUM(E121:E123)</f>
        <v>3.1458601155055298E-2</v>
      </c>
      <c r="F124" s="782"/>
      <c r="G124" s="777">
        <f>F117*E124</f>
        <v>476275.29057044064</v>
      </c>
      <c r="H124" s="777"/>
      <c r="I124" s="777"/>
    </row>
    <row r="125" spans="1:12" x14ac:dyDescent="0.25">
      <c r="A125"/>
    </row>
    <row r="126" spans="1:12" s="106" customFormat="1" x14ac:dyDescent="0.25">
      <c r="A126" s="142" t="s">
        <v>549</v>
      </c>
      <c r="B126" s="157"/>
      <c r="C126" s="157"/>
      <c r="D126" s="157"/>
      <c r="E126" s="157"/>
      <c r="F126" s="157"/>
      <c r="G126" s="157"/>
      <c r="H126" s="157"/>
      <c r="I126" s="157"/>
      <c r="J126" s="158"/>
      <c r="K126" s="158"/>
      <c r="L126" s="158"/>
    </row>
    <row r="127" spans="1:12" s="106" customFormat="1" ht="30" customHeight="1" x14ac:dyDescent="0.25">
      <c r="A127" s="159" t="s">
        <v>547</v>
      </c>
      <c r="B127" s="159"/>
      <c r="C127" s="159"/>
      <c r="D127" s="159"/>
      <c r="E127" s="779" t="s">
        <v>553</v>
      </c>
      <c r="F127" s="779"/>
      <c r="G127" s="779" t="s">
        <v>554</v>
      </c>
      <c r="H127" s="779"/>
      <c r="I127" s="779"/>
      <c r="J127" s="158"/>
      <c r="K127" s="158"/>
      <c r="L127" s="158"/>
    </row>
    <row r="128" spans="1:12" s="106" customFormat="1" x14ac:dyDescent="0.25">
      <c r="A128" s="159" t="s">
        <v>496</v>
      </c>
      <c r="B128" s="159"/>
      <c r="C128" s="159"/>
      <c r="D128" s="159"/>
      <c r="E128" s="824">
        <v>2E-3</v>
      </c>
      <c r="F128" s="824"/>
      <c r="G128" s="780">
        <f>F117*E128</f>
        <v>30279.495787046762</v>
      </c>
      <c r="H128" s="780"/>
      <c r="I128" s="780"/>
      <c r="J128" s="158"/>
      <c r="K128" s="158"/>
      <c r="L128" s="158"/>
    </row>
    <row r="129" spans="1:12" s="106" customFormat="1" x14ac:dyDescent="0.25">
      <c r="A129" s="159" t="s">
        <v>35</v>
      </c>
      <c r="B129" s="159"/>
      <c r="C129" s="159"/>
      <c r="D129" s="159"/>
      <c r="E129" s="824">
        <v>1.4999999999999999E-2</v>
      </c>
      <c r="F129" s="824"/>
      <c r="G129" s="780">
        <f>F117*E129</f>
        <v>227096.2184028507</v>
      </c>
      <c r="H129" s="780"/>
      <c r="I129" s="780"/>
      <c r="J129" s="158"/>
      <c r="K129" s="158"/>
      <c r="L129" s="158"/>
    </row>
    <row r="130" spans="1:12" s="106" customFormat="1" x14ac:dyDescent="0.25">
      <c r="A130" s="159" t="s">
        <v>500</v>
      </c>
      <c r="B130" s="159"/>
      <c r="C130" s="159"/>
      <c r="D130" s="159"/>
      <c r="E130" s="824">
        <v>2.1000000000000001E-2</v>
      </c>
      <c r="F130" s="824"/>
      <c r="G130" s="780">
        <f>F117*E130</f>
        <v>317934.70576399099</v>
      </c>
      <c r="H130" s="780"/>
      <c r="I130" s="780"/>
      <c r="J130" s="158"/>
      <c r="K130" s="158"/>
      <c r="L130" s="158"/>
    </row>
    <row r="131" spans="1:12" s="106" customFormat="1" x14ac:dyDescent="0.25">
      <c r="A131" s="161" t="s">
        <v>548</v>
      </c>
      <c r="B131" s="161"/>
      <c r="C131" s="161"/>
      <c r="D131" s="161"/>
      <c r="E131" s="825">
        <f>SUM(E128:F130)</f>
        <v>3.8000000000000006E-2</v>
      </c>
      <c r="F131" s="825"/>
      <c r="G131" s="777">
        <f>F117*E131</f>
        <v>575310.41995388852</v>
      </c>
      <c r="H131" s="777"/>
      <c r="I131" s="777"/>
      <c r="J131" s="158"/>
      <c r="K131" s="158"/>
      <c r="L131" s="158"/>
    </row>
    <row r="132" spans="1:12" s="156" customFormat="1" x14ac:dyDescent="0.25">
      <c r="B132" s="155"/>
      <c r="C132" s="155"/>
      <c r="D132" s="155"/>
      <c r="E132" s="155"/>
      <c r="F132" s="155"/>
      <c r="G132" s="155"/>
      <c r="H132" s="155"/>
      <c r="I132" s="155"/>
      <c r="J132" s="155"/>
      <c r="K132" s="155"/>
      <c r="L132" s="155"/>
    </row>
    <row r="133" spans="1:12" s="106" customFormat="1" x14ac:dyDescent="0.25">
      <c r="A133" s="142" t="s">
        <v>550</v>
      </c>
      <c r="B133" s="157"/>
      <c r="C133" s="157"/>
      <c r="D133" s="157"/>
      <c r="E133" s="157"/>
      <c r="F133" s="157"/>
      <c r="G133" s="157"/>
      <c r="H133" s="157"/>
      <c r="I133" s="157"/>
      <c r="J133" s="158"/>
      <c r="K133" s="158"/>
      <c r="L133" s="158"/>
    </row>
    <row r="134" spans="1:12" s="106" customFormat="1" ht="30" customHeight="1" x14ac:dyDescent="0.25">
      <c r="A134" s="159" t="s">
        <v>547</v>
      </c>
      <c r="B134" s="159"/>
      <c r="C134" s="159"/>
      <c r="D134" s="159"/>
      <c r="E134" s="779"/>
      <c r="F134" s="779"/>
      <c r="G134" s="779" t="s">
        <v>554</v>
      </c>
      <c r="H134" s="779"/>
      <c r="I134" s="779"/>
      <c r="J134" s="158"/>
      <c r="K134" s="158"/>
      <c r="L134" s="158"/>
    </row>
    <row r="135" spans="1:12" s="106" customFormat="1" x14ac:dyDescent="0.25">
      <c r="A135" s="159" t="s">
        <v>496</v>
      </c>
      <c r="B135" s="159"/>
      <c r="C135" s="159"/>
      <c r="D135" s="159"/>
      <c r="E135" s="160"/>
      <c r="F135" s="160"/>
      <c r="G135" s="826">
        <v>15000</v>
      </c>
      <c r="H135" s="826"/>
      <c r="I135" s="826"/>
      <c r="J135" s="158"/>
      <c r="K135" s="158"/>
      <c r="L135" s="158"/>
    </row>
    <row r="136" spans="1:12" s="106" customFormat="1" x14ac:dyDescent="0.25">
      <c r="A136" s="159" t="s">
        <v>35</v>
      </c>
      <c r="B136" s="159"/>
      <c r="C136" s="159"/>
      <c r="D136" s="159"/>
      <c r="E136" s="160"/>
      <c r="F136" s="160"/>
      <c r="G136" s="826">
        <v>150000</v>
      </c>
      <c r="H136" s="826"/>
      <c r="I136" s="826"/>
      <c r="J136" s="158"/>
      <c r="K136" s="158"/>
      <c r="L136" s="158"/>
    </row>
    <row r="137" spans="1:12" s="106" customFormat="1" x14ac:dyDescent="0.25">
      <c r="A137" s="159" t="s">
        <v>500</v>
      </c>
      <c r="B137" s="159"/>
      <c r="C137" s="159"/>
      <c r="D137" s="159"/>
      <c r="E137" s="160"/>
      <c r="F137" s="160"/>
      <c r="G137" s="826">
        <v>230000</v>
      </c>
      <c r="H137" s="826"/>
      <c r="I137" s="826"/>
      <c r="J137" s="158"/>
      <c r="K137" s="158"/>
      <c r="L137" s="158"/>
    </row>
    <row r="138" spans="1:12" s="106" customFormat="1" x14ac:dyDescent="0.25">
      <c r="A138" s="161" t="s">
        <v>548</v>
      </c>
      <c r="B138" s="161"/>
      <c r="C138" s="161"/>
      <c r="D138" s="161"/>
      <c r="E138" s="164"/>
      <c r="F138" s="164"/>
      <c r="G138" s="777">
        <f>SUM(G135:I137)</f>
        <v>395000</v>
      </c>
      <c r="H138" s="777"/>
      <c r="I138" s="777"/>
      <c r="J138" s="158"/>
      <c r="K138" s="158"/>
      <c r="L138" s="158"/>
    </row>
    <row r="139" spans="1:12" s="156" customFormat="1" x14ac:dyDescent="0.25">
      <c r="B139" s="155"/>
      <c r="C139" s="155"/>
      <c r="D139" s="155"/>
      <c r="E139" s="155"/>
      <c r="F139" s="155"/>
      <c r="G139" s="155"/>
      <c r="H139" s="155"/>
      <c r="I139" s="155"/>
      <c r="J139" s="155"/>
      <c r="K139" s="155"/>
      <c r="L139" s="155"/>
    </row>
    <row r="140" spans="1:12" s="106" customFormat="1" x14ac:dyDescent="0.25">
      <c r="A140" s="142" t="s">
        <v>551</v>
      </c>
      <c r="B140" s="157"/>
      <c r="C140" s="157"/>
      <c r="D140" s="157"/>
      <c r="E140" s="157"/>
      <c r="F140" s="157"/>
      <c r="G140" s="157"/>
      <c r="H140" s="157"/>
      <c r="I140" s="157"/>
      <c r="J140" s="158"/>
      <c r="K140" s="158"/>
      <c r="L140" s="158"/>
    </row>
    <row r="141" spans="1:12" s="106" customFormat="1" ht="30" customHeight="1" x14ac:dyDescent="0.25">
      <c r="A141" s="159" t="s">
        <v>547</v>
      </c>
      <c r="B141" s="159"/>
      <c r="C141" s="159"/>
      <c r="D141" s="159"/>
      <c r="E141" s="779"/>
      <c r="F141" s="779"/>
      <c r="G141" s="779" t="s">
        <v>554</v>
      </c>
      <c r="H141" s="779"/>
      <c r="I141" s="779"/>
      <c r="J141" s="158"/>
      <c r="K141" s="158"/>
      <c r="L141" s="158"/>
    </row>
    <row r="142" spans="1:12" s="106" customFormat="1" x14ac:dyDescent="0.25">
      <c r="A142" s="159" t="s">
        <v>496</v>
      </c>
      <c r="B142" s="159"/>
      <c r="C142" s="159"/>
      <c r="D142" s="159"/>
      <c r="E142" s="160"/>
      <c r="F142" s="160"/>
      <c r="G142" s="160"/>
      <c r="H142" s="163">
        <f>ROUND((G135+G128)/2,0)</f>
        <v>22640</v>
      </c>
      <c r="I142" s="160"/>
      <c r="J142" s="158"/>
      <c r="K142" s="158"/>
      <c r="L142" s="158"/>
    </row>
    <row r="143" spans="1:12" s="106" customFormat="1" x14ac:dyDescent="0.25">
      <c r="A143" s="159" t="s">
        <v>35</v>
      </c>
      <c r="B143" s="159"/>
      <c r="C143" s="159"/>
      <c r="D143" s="159"/>
      <c r="E143" s="160"/>
      <c r="F143" s="160"/>
      <c r="G143" s="160"/>
      <c r="H143" s="163">
        <f t="shared" ref="H143:H144" si="76">ROUND((G136+G129)/2,0)</f>
        <v>188548</v>
      </c>
      <c r="I143" s="160"/>
      <c r="J143" s="158"/>
      <c r="K143" s="158"/>
      <c r="L143" s="158"/>
    </row>
    <row r="144" spans="1:12" s="106" customFormat="1" x14ac:dyDescent="0.25">
      <c r="A144" s="159" t="s">
        <v>500</v>
      </c>
      <c r="B144" s="159"/>
      <c r="C144" s="159"/>
      <c r="D144" s="159"/>
      <c r="E144" s="160"/>
      <c r="F144" s="160"/>
      <c r="G144" s="160"/>
      <c r="H144" s="163">
        <f t="shared" si="76"/>
        <v>273967</v>
      </c>
      <c r="I144" s="160"/>
      <c r="J144" s="158"/>
      <c r="K144" s="158"/>
      <c r="L144" s="158"/>
    </row>
    <row r="145" spans="1:12" s="106" customFormat="1" x14ac:dyDescent="0.25">
      <c r="A145" s="161" t="s">
        <v>548</v>
      </c>
      <c r="B145" s="161"/>
      <c r="C145" s="161"/>
      <c r="D145" s="161"/>
      <c r="E145" s="164"/>
      <c r="F145" s="164"/>
      <c r="G145" s="164"/>
      <c r="H145" s="165">
        <f>SUM(H142:H144)</f>
        <v>485155</v>
      </c>
      <c r="I145" s="160"/>
      <c r="J145" s="158"/>
      <c r="K145" s="158"/>
      <c r="L145" s="158"/>
    </row>
    <row r="146" spans="1:12" s="106" customFormat="1" x14ac:dyDescent="0.25">
      <c r="A146" s="161" t="s">
        <v>552</v>
      </c>
      <c r="B146" s="161"/>
      <c r="C146" s="161"/>
      <c r="D146" s="161"/>
      <c r="E146" s="164"/>
      <c r="F146" s="164"/>
      <c r="G146" s="164"/>
      <c r="H146" s="166">
        <f>H145/F117</f>
        <v>3.2045117488881308E-2</v>
      </c>
      <c r="I146" s="160"/>
      <c r="J146" s="158"/>
      <c r="K146" s="158"/>
      <c r="L146" s="158"/>
    </row>
    <row r="147" spans="1:12" s="106" customFormat="1" x14ac:dyDescent="0.25">
      <c r="A147" s="158"/>
      <c r="B147" s="158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</row>
    <row r="148" spans="1:12" s="106" customFormat="1" x14ac:dyDescent="0.25">
      <c r="A148" s="158"/>
      <c r="B148" s="158"/>
      <c r="C148" s="158"/>
      <c r="D148" s="158"/>
      <c r="E148" s="158"/>
      <c r="F148" s="158"/>
      <c r="G148" s="158"/>
      <c r="H148" s="158"/>
      <c r="I148" s="158"/>
      <c r="J148" s="158"/>
      <c r="K148" s="158"/>
      <c r="L148" s="158"/>
    </row>
    <row r="149" spans="1:12" s="106" customFormat="1" x14ac:dyDescent="0.25">
      <c r="A149" s="162" t="s">
        <v>555</v>
      </c>
      <c r="B149" s="162"/>
      <c r="C149" s="162"/>
      <c r="D149" s="162"/>
      <c r="E149" s="162"/>
      <c r="F149" s="158"/>
      <c r="G149" s="158"/>
      <c r="H149" s="158"/>
      <c r="I149" s="158"/>
      <c r="J149" s="158"/>
      <c r="K149" s="158"/>
      <c r="L149" s="158"/>
    </row>
    <row r="150" spans="1:12" s="106" customFormat="1" x14ac:dyDescent="0.25">
      <c r="A150" s="158"/>
      <c r="B150" s="158"/>
      <c r="C150" s="158"/>
      <c r="D150" s="158"/>
      <c r="E150" s="158"/>
      <c r="F150" s="158"/>
      <c r="G150" s="158"/>
      <c r="H150" s="158"/>
      <c r="I150" s="158"/>
      <c r="J150" s="158"/>
      <c r="K150" s="158"/>
      <c r="L150" s="158"/>
    </row>
    <row r="151" spans="1:12" s="106" customFormat="1" x14ac:dyDescent="0.25">
      <c r="A151" s="820" t="s">
        <v>1516</v>
      </c>
      <c r="B151" s="811"/>
      <c r="C151" s="811"/>
      <c r="D151" s="811"/>
      <c r="E151" s="167">
        <f>Rozvaha!G1</f>
        <v>2016</v>
      </c>
      <c r="F151" s="168">
        <f>E151+1</f>
        <v>2017</v>
      </c>
      <c r="G151" s="168">
        <f t="shared" ref="G151:J151" si="77">F151+1</f>
        <v>2018</v>
      </c>
      <c r="H151" s="168">
        <f t="shared" si="77"/>
        <v>2019</v>
      </c>
      <c r="I151" s="168">
        <f t="shared" si="77"/>
        <v>2020</v>
      </c>
      <c r="J151" s="168">
        <f t="shared" si="77"/>
        <v>2021</v>
      </c>
      <c r="K151" s="158"/>
      <c r="L151" s="158"/>
    </row>
    <row r="152" spans="1:12" s="106" customFormat="1" x14ac:dyDescent="0.25">
      <c r="A152" s="142" t="s">
        <v>496</v>
      </c>
      <c r="B152" s="142"/>
      <c r="C152" s="142"/>
      <c r="D152" s="142"/>
      <c r="E152" s="172"/>
      <c r="F152" s="170"/>
      <c r="G152" s="170"/>
      <c r="H152" s="170"/>
      <c r="I152" s="170"/>
      <c r="J152" s="170"/>
      <c r="K152" s="158"/>
      <c r="L152" s="158"/>
    </row>
    <row r="153" spans="1:12" s="106" customFormat="1" x14ac:dyDescent="0.25">
      <c r="A153" s="159" t="s">
        <v>556</v>
      </c>
      <c r="B153" s="159"/>
      <c r="C153" s="159"/>
      <c r="D153" s="159"/>
      <c r="E153" s="173">
        <f>I97</f>
        <v>1153</v>
      </c>
      <c r="F153" s="171">
        <f>E153</f>
        <v>1153</v>
      </c>
      <c r="G153" s="171">
        <f>F154</f>
        <v>1011</v>
      </c>
      <c r="H153" s="171">
        <f t="shared" ref="H153:J153" si="78">G154</f>
        <v>0</v>
      </c>
      <c r="I153" s="171">
        <f t="shared" si="78"/>
        <v>0</v>
      </c>
      <c r="J153" s="171">
        <f t="shared" si="78"/>
        <v>0</v>
      </c>
      <c r="K153" s="158"/>
      <c r="L153" s="158"/>
    </row>
    <row r="154" spans="1:12" s="106" customFormat="1" x14ac:dyDescent="0.25">
      <c r="A154" s="159" t="s">
        <v>557</v>
      </c>
      <c r="B154" s="159"/>
      <c r="C154" s="159"/>
      <c r="D154" s="159"/>
      <c r="E154" s="173">
        <f>I96</f>
        <v>2164</v>
      </c>
      <c r="F154" s="171">
        <f>E154-F153</f>
        <v>1011</v>
      </c>
      <c r="G154" s="171">
        <f>F154-G153</f>
        <v>0</v>
      </c>
      <c r="H154" s="171">
        <f t="shared" ref="H154:J154" si="79">G154-H153</f>
        <v>0</v>
      </c>
      <c r="I154" s="171">
        <f t="shared" si="79"/>
        <v>0</v>
      </c>
      <c r="J154" s="171">
        <f t="shared" si="79"/>
        <v>0</v>
      </c>
      <c r="K154" s="158"/>
      <c r="L154" s="158"/>
    </row>
    <row r="155" spans="1:12" s="106" customFormat="1" x14ac:dyDescent="0.25">
      <c r="A155" s="159" t="s">
        <v>558</v>
      </c>
      <c r="B155" s="159"/>
      <c r="C155" s="159"/>
      <c r="D155" s="159"/>
      <c r="E155" s="173"/>
      <c r="F155" s="827">
        <v>3524</v>
      </c>
      <c r="G155" s="827">
        <v>3892</v>
      </c>
      <c r="H155" s="827">
        <v>2854</v>
      </c>
      <c r="I155" s="827">
        <v>4283</v>
      </c>
      <c r="J155" s="171">
        <f>H142-SUM(F155:I155)</f>
        <v>8087</v>
      </c>
      <c r="K155" s="174">
        <f>SUM(F155:J155)</f>
        <v>22640</v>
      </c>
      <c r="L155" s="158"/>
    </row>
    <row r="156" spans="1:12" s="106" customFormat="1" x14ac:dyDescent="0.25">
      <c r="A156" s="159" t="s">
        <v>559</v>
      </c>
      <c r="B156" s="159"/>
      <c r="C156" s="159"/>
      <c r="D156" s="159"/>
      <c r="E156" s="173"/>
      <c r="F156" s="171">
        <f>E156+F155</f>
        <v>3524</v>
      </c>
      <c r="G156" s="171">
        <f t="shared" ref="G156:J156" si="80">F156+G155</f>
        <v>7416</v>
      </c>
      <c r="H156" s="171">
        <f t="shared" si="80"/>
        <v>10270</v>
      </c>
      <c r="I156" s="171">
        <f t="shared" si="80"/>
        <v>14553</v>
      </c>
      <c r="J156" s="171">
        <f t="shared" si="80"/>
        <v>22640</v>
      </c>
      <c r="K156" s="158"/>
      <c r="L156" s="158"/>
    </row>
    <row r="157" spans="1:12" s="106" customFormat="1" x14ac:dyDescent="0.25">
      <c r="A157" s="159" t="s">
        <v>560</v>
      </c>
      <c r="B157" s="159"/>
      <c r="C157" s="159"/>
      <c r="D157" s="159"/>
      <c r="E157" s="173"/>
      <c r="F157" s="171">
        <f>E156/4</f>
        <v>0</v>
      </c>
      <c r="G157" s="171">
        <f t="shared" ref="G157:J157" si="81">F156/4</f>
        <v>881</v>
      </c>
      <c r="H157" s="171">
        <f t="shared" si="81"/>
        <v>1854</v>
      </c>
      <c r="I157" s="171">
        <f t="shared" si="81"/>
        <v>2567.5</v>
      </c>
      <c r="J157" s="171">
        <f t="shared" si="81"/>
        <v>3638.25</v>
      </c>
      <c r="K157" s="158"/>
      <c r="L157" s="158"/>
    </row>
    <row r="158" spans="1:12" s="106" customFormat="1" x14ac:dyDescent="0.25">
      <c r="A158" s="159" t="s">
        <v>561</v>
      </c>
      <c r="B158" s="159"/>
      <c r="C158" s="159"/>
      <c r="D158" s="159"/>
      <c r="E158" s="173"/>
      <c r="F158" s="171">
        <f>F155-F153-F157</f>
        <v>2371</v>
      </c>
      <c r="G158" s="171">
        <f t="shared" ref="G158:J158" si="82">G155-G153-G157</f>
        <v>2000</v>
      </c>
      <c r="H158" s="171">
        <f t="shared" si="82"/>
        <v>1000</v>
      </c>
      <c r="I158" s="171">
        <f t="shared" si="82"/>
        <v>1715.5</v>
      </c>
      <c r="J158" s="171">
        <f t="shared" si="82"/>
        <v>4448.75</v>
      </c>
      <c r="K158" s="158"/>
      <c r="L158" s="158"/>
    </row>
    <row r="159" spans="1:12" s="106" customFormat="1" x14ac:dyDescent="0.25">
      <c r="A159" s="159" t="s">
        <v>562</v>
      </c>
      <c r="B159" s="159"/>
      <c r="C159" s="159"/>
      <c r="D159" s="159"/>
      <c r="E159" s="173">
        <f t="shared" ref="E159:J159" si="83">E153+E157</f>
        <v>1153</v>
      </c>
      <c r="F159" s="171">
        <f t="shared" si="83"/>
        <v>1153</v>
      </c>
      <c r="G159" s="171">
        <f t="shared" si="83"/>
        <v>1892</v>
      </c>
      <c r="H159" s="171">
        <f t="shared" si="83"/>
        <v>1854</v>
      </c>
      <c r="I159" s="171">
        <f t="shared" si="83"/>
        <v>2567.5</v>
      </c>
      <c r="J159" s="171">
        <f t="shared" si="83"/>
        <v>3638.25</v>
      </c>
      <c r="K159" s="158"/>
      <c r="L159" s="158"/>
    </row>
    <row r="160" spans="1:12" s="106" customFormat="1" x14ac:dyDescent="0.25">
      <c r="A160" s="159" t="s">
        <v>563</v>
      </c>
      <c r="B160" s="159"/>
      <c r="C160" s="159"/>
      <c r="D160" s="159"/>
      <c r="E160" s="173">
        <f>E154</f>
        <v>2164</v>
      </c>
      <c r="F160" s="171">
        <f>E160+F158</f>
        <v>4535</v>
      </c>
      <c r="G160" s="171">
        <f t="shared" ref="G160:J160" si="84">F160+G158</f>
        <v>6535</v>
      </c>
      <c r="H160" s="171">
        <f t="shared" si="84"/>
        <v>7535</v>
      </c>
      <c r="I160" s="171">
        <f t="shared" si="84"/>
        <v>9250.5</v>
      </c>
      <c r="J160" s="171">
        <f t="shared" si="84"/>
        <v>13699.25</v>
      </c>
      <c r="K160" s="158"/>
      <c r="L160" s="158"/>
    </row>
    <row r="161" spans="1:12" s="106" customFormat="1" x14ac:dyDescent="0.25">
      <c r="A161" s="142" t="s">
        <v>35</v>
      </c>
      <c r="B161" s="142"/>
      <c r="C161" s="142"/>
      <c r="D161" s="142"/>
      <c r="E161" s="169"/>
      <c r="F161" s="169"/>
      <c r="G161" s="169"/>
      <c r="H161" s="169"/>
      <c r="I161" s="169"/>
      <c r="J161" s="169"/>
      <c r="K161" s="158"/>
      <c r="L161" s="158"/>
    </row>
    <row r="162" spans="1:12" s="106" customFormat="1" x14ac:dyDescent="0.25">
      <c r="A162" s="159" t="s">
        <v>564</v>
      </c>
      <c r="B162" s="159"/>
      <c r="C162" s="159"/>
      <c r="D162" s="159"/>
      <c r="E162" s="173">
        <f>I103</f>
        <v>16500</v>
      </c>
      <c r="F162" s="171">
        <f>E162</f>
        <v>16500</v>
      </c>
      <c r="G162" s="171">
        <f t="shared" ref="G162:J162" si="85">F162</f>
        <v>16500</v>
      </c>
      <c r="H162" s="171">
        <f t="shared" si="85"/>
        <v>16500</v>
      </c>
      <c r="I162" s="171">
        <f t="shared" si="85"/>
        <v>16500</v>
      </c>
      <c r="J162" s="171">
        <f t="shared" si="85"/>
        <v>16500</v>
      </c>
      <c r="K162" s="158"/>
      <c r="L162" s="158"/>
    </row>
    <row r="163" spans="1:12" s="106" customFormat="1" x14ac:dyDescent="0.25">
      <c r="A163" s="159" t="s">
        <v>557</v>
      </c>
      <c r="B163" s="159"/>
      <c r="C163" s="159"/>
      <c r="D163" s="159"/>
      <c r="E163" s="173">
        <f>I102</f>
        <v>351000</v>
      </c>
      <c r="F163" s="171">
        <f>E163-F162</f>
        <v>334500</v>
      </c>
      <c r="G163" s="171">
        <f>F163-G162</f>
        <v>318000</v>
      </c>
      <c r="H163" s="171">
        <f t="shared" ref="H163" si="86">G163-H162</f>
        <v>301500</v>
      </c>
      <c r="I163" s="171">
        <f t="shared" ref="I163" si="87">H163-I162</f>
        <v>285000</v>
      </c>
      <c r="J163" s="171">
        <f t="shared" ref="J163" si="88">I163-J162</f>
        <v>268500</v>
      </c>
      <c r="K163" s="174">
        <f>SUM(F163:J163)</f>
        <v>1507500</v>
      </c>
      <c r="L163" s="158"/>
    </row>
    <row r="164" spans="1:12" s="106" customFormat="1" x14ac:dyDescent="0.25">
      <c r="A164" s="159" t="s">
        <v>558</v>
      </c>
      <c r="B164" s="159"/>
      <c r="C164" s="159"/>
      <c r="D164" s="159"/>
      <c r="E164" s="173"/>
      <c r="F164" s="171">
        <f>H143/5</f>
        <v>37709.599999999999</v>
      </c>
      <c r="G164" s="171">
        <f>H143/5</f>
        <v>37709.599999999999</v>
      </c>
      <c r="H164" s="171">
        <f>H143/5</f>
        <v>37709.599999999999</v>
      </c>
      <c r="I164" s="171">
        <f>H143/5</f>
        <v>37709.599999999999</v>
      </c>
      <c r="J164" s="171">
        <f>H143/5</f>
        <v>37709.599999999999</v>
      </c>
      <c r="K164" s="158"/>
      <c r="L164" s="158"/>
    </row>
    <row r="165" spans="1:12" s="106" customFormat="1" x14ac:dyDescent="0.25">
      <c r="A165" s="159" t="s">
        <v>559</v>
      </c>
      <c r="B165" s="159"/>
      <c r="C165" s="159"/>
      <c r="D165" s="159"/>
      <c r="E165" s="173"/>
      <c r="F165" s="171">
        <f>E165+F164</f>
        <v>37709.599999999999</v>
      </c>
      <c r="G165" s="171">
        <f t="shared" ref="G165" si="89">F165+G164</f>
        <v>75419.199999999997</v>
      </c>
      <c r="H165" s="171">
        <f t="shared" ref="H165" si="90">G165+H164</f>
        <v>113128.79999999999</v>
      </c>
      <c r="I165" s="171">
        <f t="shared" ref="I165" si="91">H165+I164</f>
        <v>150838.39999999999</v>
      </c>
      <c r="J165" s="171">
        <f t="shared" ref="J165" si="92">I165+J164</f>
        <v>188548</v>
      </c>
      <c r="K165" s="158"/>
      <c r="L165" s="158"/>
    </row>
    <row r="166" spans="1:12" s="106" customFormat="1" x14ac:dyDescent="0.25">
      <c r="A166" s="159" t="s">
        <v>565</v>
      </c>
      <c r="B166" s="159"/>
      <c r="C166" s="159"/>
      <c r="D166" s="159"/>
      <c r="E166" s="173"/>
      <c r="F166" s="171">
        <f>E165/30</f>
        <v>0</v>
      </c>
      <c r="G166" s="171">
        <f>F165/6</f>
        <v>6284.9333333333334</v>
      </c>
      <c r="H166" s="171">
        <f t="shared" ref="H166:J166" si="93">G165/30</f>
        <v>2513.9733333333334</v>
      </c>
      <c r="I166" s="171">
        <f t="shared" si="93"/>
        <v>3770.9599999999996</v>
      </c>
      <c r="J166" s="171">
        <f t="shared" si="93"/>
        <v>5027.9466666666667</v>
      </c>
      <c r="K166" s="158"/>
      <c r="L166" s="158"/>
    </row>
    <row r="167" spans="1:12" s="106" customFormat="1" x14ac:dyDescent="0.25">
      <c r="A167" s="159" t="s">
        <v>561</v>
      </c>
      <c r="B167" s="159"/>
      <c r="C167" s="159"/>
      <c r="D167" s="159"/>
      <c r="E167" s="173"/>
      <c r="F167" s="171">
        <f>F164-F162-F166</f>
        <v>21209.599999999999</v>
      </c>
      <c r="G167" s="171">
        <f t="shared" ref="G167" si="94">G164-G162-G166</f>
        <v>14924.666666666664</v>
      </c>
      <c r="H167" s="171">
        <f t="shared" ref="H167" si="95">H164-H162-H166</f>
        <v>18695.626666666663</v>
      </c>
      <c r="I167" s="171">
        <f t="shared" ref="I167" si="96">I164-I162-I166</f>
        <v>17438.64</v>
      </c>
      <c r="J167" s="171">
        <f t="shared" ref="J167" si="97">J164-J162-J166</f>
        <v>16181.653333333332</v>
      </c>
      <c r="K167" s="158"/>
      <c r="L167" s="158"/>
    </row>
    <row r="168" spans="1:12" s="106" customFormat="1" x14ac:dyDescent="0.25">
      <c r="A168" s="159" t="s">
        <v>562</v>
      </c>
      <c r="B168" s="159"/>
      <c r="C168" s="159"/>
      <c r="D168" s="159"/>
      <c r="E168" s="173">
        <f t="shared" ref="E168:J168" si="98">E162+E166</f>
        <v>16500</v>
      </c>
      <c r="F168" s="171">
        <f t="shared" si="98"/>
        <v>16500</v>
      </c>
      <c r="G168" s="171">
        <f t="shared" si="98"/>
        <v>22784.933333333334</v>
      </c>
      <c r="H168" s="171">
        <f t="shared" si="98"/>
        <v>19013.973333333335</v>
      </c>
      <c r="I168" s="171">
        <f t="shared" si="98"/>
        <v>20270.96</v>
      </c>
      <c r="J168" s="171">
        <f t="shared" si="98"/>
        <v>21527.946666666667</v>
      </c>
      <c r="K168" s="158"/>
      <c r="L168" s="158"/>
    </row>
    <row r="169" spans="1:12" s="106" customFormat="1" x14ac:dyDescent="0.25">
      <c r="A169" s="159" t="s">
        <v>563</v>
      </c>
      <c r="B169" s="159"/>
      <c r="C169" s="159"/>
      <c r="D169" s="159"/>
      <c r="E169" s="173">
        <f>E163</f>
        <v>351000</v>
      </c>
      <c r="F169" s="171">
        <f>E169+F167</f>
        <v>372209.6</v>
      </c>
      <c r="G169" s="171">
        <f t="shared" ref="G169:J169" si="99">F169+G167</f>
        <v>387134.26666666666</v>
      </c>
      <c r="H169" s="171">
        <f t="shared" si="99"/>
        <v>405829.89333333331</v>
      </c>
      <c r="I169" s="171">
        <f t="shared" si="99"/>
        <v>423268.53333333333</v>
      </c>
      <c r="J169" s="171">
        <f t="shared" si="99"/>
        <v>439450.18666666665</v>
      </c>
      <c r="K169" s="158"/>
      <c r="L169" s="158"/>
    </row>
    <row r="170" spans="1:12" s="106" customFormat="1" x14ac:dyDescent="0.25">
      <c r="A170" s="142" t="s">
        <v>500</v>
      </c>
      <c r="B170" s="142"/>
      <c r="C170" s="142"/>
      <c r="D170" s="142"/>
      <c r="E170" s="158"/>
      <c r="F170" s="158"/>
      <c r="G170" s="158"/>
      <c r="H170" s="158"/>
      <c r="I170" s="158"/>
      <c r="J170" s="158"/>
      <c r="K170" s="158"/>
      <c r="L170" s="158"/>
    </row>
    <row r="171" spans="1:12" s="106" customFormat="1" x14ac:dyDescent="0.25">
      <c r="A171" s="159" t="s">
        <v>564</v>
      </c>
      <c r="B171" s="159"/>
      <c r="C171" s="159"/>
      <c r="D171" s="159"/>
      <c r="E171" s="173">
        <f>I109</f>
        <v>27719</v>
      </c>
      <c r="F171" s="171">
        <f>E171</f>
        <v>27719</v>
      </c>
      <c r="G171" s="171">
        <v>24386</v>
      </c>
      <c r="H171" s="171">
        <v>20105</v>
      </c>
      <c r="I171" s="170">
        <f>H172</f>
        <v>12290</v>
      </c>
      <c r="J171" s="170"/>
      <c r="K171" s="158"/>
      <c r="L171" s="158"/>
    </row>
    <row r="172" spans="1:12" s="106" customFormat="1" x14ac:dyDescent="0.25">
      <c r="A172" s="159" t="s">
        <v>557</v>
      </c>
      <c r="B172" s="159"/>
      <c r="C172" s="159"/>
      <c r="D172" s="159"/>
      <c r="E172" s="173">
        <f>I108</f>
        <v>84500</v>
      </c>
      <c r="F172" s="171">
        <f>E172-F171</f>
        <v>56781</v>
      </c>
      <c r="G172" s="171">
        <f t="shared" ref="G172:J172" si="100">F172-G171</f>
        <v>32395</v>
      </c>
      <c r="H172" s="171">
        <f t="shared" si="100"/>
        <v>12290</v>
      </c>
      <c r="I172" s="171">
        <f t="shared" si="100"/>
        <v>0</v>
      </c>
      <c r="J172" s="171">
        <f t="shared" si="100"/>
        <v>0</v>
      </c>
      <c r="K172" s="158"/>
      <c r="L172" s="158"/>
    </row>
    <row r="173" spans="1:12" s="106" customFormat="1" x14ac:dyDescent="0.25">
      <c r="A173" s="159" t="s">
        <v>558</v>
      </c>
      <c r="B173" s="159"/>
      <c r="C173" s="159"/>
      <c r="D173" s="159"/>
      <c r="E173" s="172"/>
      <c r="F173" s="171">
        <v>42719</v>
      </c>
      <c r="G173" s="171">
        <v>46725</v>
      </c>
      <c r="H173" s="171">
        <v>43862</v>
      </c>
      <c r="I173" s="171">
        <v>58368</v>
      </c>
      <c r="J173" s="171">
        <f>H144-SUM(F173:I173)</f>
        <v>82293</v>
      </c>
      <c r="K173" s="174">
        <f>SUM(F173:J173)</f>
        <v>273967</v>
      </c>
      <c r="L173" s="158"/>
    </row>
    <row r="174" spans="1:12" s="106" customFormat="1" x14ac:dyDescent="0.25">
      <c r="A174" s="159" t="s">
        <v>559</v>
      </c>
      <c r="B174" s="159"/>
      <c r="C174" s="159"/>
      <c r="D174" s="159"/>
      <c r="E174" s="172"/>
      <c r="F174" s="171">
        <f>E174+F173</f>
        <v>42719</v>
      </c>
      <c r="G174" s="171">
        <f t="shared" ref="G174:J174" si="101">F174+G173</f>
        <v>89444</v>
      </c>
      <c r="H174" s="171">
        <f t="shared" si="101"/>
        <v>133306</v>
      </c>
      <c r="I174" s="171">
        <f t="shared" si="101"/>
        <v>191674</v>
      </c>
      <c r="J174" s="171">
        <f t="shared" si="101"/>
        <v>273967</v>
      </c>
      <c r="K174" s="158"/>
      <c r="L174" s="158"/>
    </row>
    <row r="175" spans="1:12" s="106" customFormat="1" x14ac:dyDescent="0.25">
      <c r="A175" s="159" t="s">
        <v>566</v>
      </c>
      <c r="B175" s="159"/>
      <c r="C175" s="159"/>
      <c r="D175" s="159"/>
      <c r="E175" s="172"/>
      <c r="F175" s="171">
        <f>E174/6</f>
        <v>0</v>
      </c>
      <c r="G175" s="171">
        <f t="shared" ref="G175:J175" si="102">F174/6</f>
        <v>7119.833333333333</v>
      </c>
      <c r="H175" s="171">
        <f t="shared" si="102"/>
        <v>14907.333333333334</v>
      </c>
      <c r="I175" s="171">
        <f t="shared" si="102"/>
        <v>22217.666666666668</v>
      </c>
      <c r="J175" s="171">
        <f t="shared" si="102"/>
        <v>31945.666666666668</v>
      </c>
      <c r="K175" s="158"/>
      <c r="L175" s="158"/>
    </row>
    <row r="176" spans="1:12" s="106" customFormat="1" x14ac:dyDescent="0.25">
      <c r="A176" s="159" t="s">
        <v>561</v>
      </c>
      <c r="B176" s="159"/>
      <c r="C176" s="159"/>
      <c r="D176" s="159"/>
      <c r="E176" s="172"/>
      <c r="F176" s="171">
        <f>F173-F171-F175</f>
        <v>15000</v>
      </c>
      <c r="G176" s="171">
        <f t="shared" ref="G176:J176" si="103">G173-G171-G175</f>
        <v>15219.166666666668</v>
      </c>
      <c r="H176" s="171">
        <f t="shared" si="103"/>
        <v>8849.6666666666661</v>
      </c>
      <c r="I176" s="171">
        <f t="shared" si="103"/>
        <v>23860.333333333332</v>
      </c>
      <c r="J176" s="171">
        <f t="shared" si="103"/>
        <v>50347.333333333328</v>
      </c>
      <c r="K176" s="158"/>
      <c r="L176" s="158"/>
    </row>
    <row r="177" spans="1:17" s="106" customFormat="1" x14ac:dyDescent="0.25">
      <c r="A177" s="159" t="s">
        <v>562</v>
      </c>
      <c r="B177" s="159"/>
      <c r="C177" s="159"/>
      <c r="D177" s="159"/>
      <c r="E177" s="173">
        <f>E171</f>
        <v>27719</v>
      </c>
      <c r="F177" s="171">
        <f>F171+F175</f>
        <v>27719</v>
      </c>
      <c r="G177" s="171">
        <f t="shared" ref="G177:J177" si="104">G171+G175</f>
        <v>31505.833333333332</v>
      </c>
      <c r="H177" s="171">
        <f t="shared" si="104"/>
        <v>35012.333333333336</v>
      </c>
      <c r="I177" s="171">
        <f t="shared" si="104"/>
        <v>34507.666666666672</v>
      </c>
      <c r="J177" s="171">
        <f t="shared" si="104"/>
        <v>31945.666666666668</v>
      </c>
      <c r="K177" s="158"/>
      <c r="L177" s="158"/>
    </row>
    <row r="178" spans="1:17" s="106" customFormat="1" x14ac:dyDescent="0.25">
      <c r="A178" s="159" t="s">
        <v>563</v>
      </c>
      <c r="B178" s="159"/>
      <c r="C178" s="159"/>
      <c r="D178" s="159"/>
      <c r="E178" s="173">
        <f>E172</f>
        <v>84500</v>
      </c>
      <c r="F178" s="171">
        <f>E178+F176</f>
        <v>99500</v>
      </c>
      <c r="G178" s="171">
        <f t="shared" ref="G178:J178" si="105">F178+G176</f>
        <v>114719.16666666667</v>
      </c>
      <c r="H178" s="171">
        <f t="shared" si="105"/>
        <v>123568.83333333334</v>
      </c>
      <c r="I178" s="171">
        <f t="shared" si="105"/>
        <v>147429.16666666669</v>
      </c>
      <c r="J178" s="171">
        <f t="shared" si="105"/>
        <v>197776.5</v>
      </c>
      <c r="K178" s="158"/>
      <c r="L178" s="158"/>
    </row>
    <row r="179" spans="1:17" s="106" customFormat="1" x14ac:dyDescent="0.25">
      <c r="B179" s="158"/>
      <c r="C179" s="158"/>
      <c r="D179" s="158"/>
      <c r="E179" s="158"/>
      <c r="F179" s="158"/>
      <c r="G179" s="158"/>
      <c r="H179" s="158"/>
      <c r="I179" s="158"/>
      <c r="J179" s="158"/>
      <c r="K179" s="158"/>
      <c r="L179" s="158"/>
    </row>
    <row r="180" spans="1:17" s="106" customFormat="1" x14ac:dyDescent="0.25">
      <c r="A180" s="142" t="s">
        <v>567</v>
      </c>
      <c r="B180" s="142"/>
      <c r="C180" s="142"/>
      <c r="D180" s="142"/>
      <c r="E180" s="172">
        <f>Rozvaha!G15</f>
        <v>14524</v>
      </c>
      <c r="F180" s="170">
        <f>E180</f>
        <v>14524</v>
      </c>
      <c r="G180" s="170">
        <f t="shared" ref="G180:J180" si="106">F180</f>
        <v>14524</v>
      </c>
      <c r="H180" s="170">
        <f t="shared" si="106"/>
        <v>14524</v>
      </c>
      <c r="I180" s="170">
        <f t="shared" si="106"/>
        <v>14524</v>
      </c>
      <c r="J180" s="170">
        <f t="shared" si="106"/>
        <v>14524</v>
      </c>
      <c r="K180" s="158"/>
      <c r="L180" s="158"/>
    </row>
    <row r="181" spans="1:17" s="106" customFormat="1" x14ac:dyDescent="0.25">
      <c r="A181" s="141"/>
      <c r="B181" s="158"/>
      <c r="C181" s="158"/>
      <c r="D181" s="158"/>
      <c r="E181" s="158"/>
      <c r="F181" s="158"/>
      <c r="G181" s="158"/>
      <c r="H181" s="158"/>
      <c r="I181" s="158"/>
      <c r="J181" s="158"/>
      <c r="K181" s="158"/>
      <c r="L181" s="158"/>
    </row>
    <row r="182" spans="1:17" s="106" customFormat="1" x14ac:dyDescent="0.25">
      <c r="A182" s="142" t="s">
        <v>548</v>
      </c>
      <c r="B182" s="142"/>
      <c r="C182" s="142"/>
      <c r="D182" s="142"/>
      <c r="E182" s="167">
        <f>Rozvaha!G1</f>
        <v>2016</v>
      </c>
      <c r="F182" s="168">
        <f>E182+1</f>
        <v>2017</v>
      </c>
      <c r="G182" s="168">
        <f t="shared" ref="G182:J182" si="107">F182+1</f>
        <v>2018</v>
      </c>
      <c r="H182" s="168">
        <f t="shared" si="107"/>
        <v>2019</v>
      </c>
      <c r="I182" s="168">
        <f t="shared" si="107"/>
        <v>2020</v>
      </c>
      <c r="J182" s="168">
        <f t="shared" si="107"/>
        <v>2021</v>
      </c>
      <c r="K182" s="158"/>
      <c r="L182" s="158"/>
    </row>
    <row r="183" spans="1:17" s="106" customFormat="1" x14ac:dyDescent="0.25">
      <c r="A183" s="159" t="s">
        <v>484</v>
      </c>
      <c r="B183" s="159"/>
      <c r="C183" s="159"/>
      <c r="D183" s="159"/>
      <c r="E183" s="173">
        <f>E159+E168+E177</f>
        <v>45372</v>
      </c>
      <c r="F183" s="171">
        <f t="shared" ref="F183:J183" si="108">F159+F168+F177</f>
        <v>45372</v>
      </c>
      <c r="G183" s="171">
        <f t="shared" si="108"/>
        <v>56182.766666666663</v>
      </c>
      <c r="H183" s="171">
        <f t="shared" si="108"/>
        <v>55880.306666666671</v>
      </c>
      <c r="I183" s="171">
        <f t="shared" si="108"/>
        <v>57346.126666666671</v>
      </c>
      <c r="J183" s="171">
        <f t="shared" si="108"/>
        <v>57111.863333333335</v>
      </c>
      <c r="K183" s="158"/>
      <c r="L183" s="158"/>
    </row>
    <row r="184" spans="1:17" s="106" customFormat="1" x14ac:dyDescent="0.25">
      <c r="A184" s="159" t="s">
        <v>568</v>
      </c>
      <c r="B184" s="159"/>
      <c r="C184" s="159"/>
      <c r="D184" s="159"/>
      <c r="E184" s="173">
        <f>E160+E169+E178+E180</f>
        <v>452188</v>
      </c>
      <c r="F184" s="171">
        <f t="shared" ref="F184:J184" si="109">F160+F169+F178+F180</f>
        <v>490768.6</v>
      </c>
      <c r="G184" s="171">
        <f t="shared" si="109"/>
        <v>522912.43333333335</v>
      </c>
      <c r="H184" s="171">
        <f t="shared" si="109"/>
        <v>551457.72666666668</v>
      </c>
      <c r="I184" s="171">
        <f t="shared" si="109"/>
        <v>594472.19999999995</v>
      </c>
      <c r="J184" s="171">
        <f t="shared" si="109"/>
        <v>665449.93666666665</v>
      </c>
      <c r="K184" s="158"/>
      <c r="L184" s="158"/>
    </row>
    <row r="185" spans="1:17" s="106" customFormat="1" x14ac:dyDescent="0.25">
      <c r="A185" s="159" t="s">
        <v>569</v>
      </c>
      <c r="B185" s="159"/>
      <c r="C185" s="159"/>
      <c r="D185" s="159"/>
      <c r="E185" s="173">
        <f>I99+I105+I112</f>
        <v>79078</v>
      </c>
      <c r="F185" s="171">
        <f>F155+F164+F173</f>
        <v>83952.6</v>
      </c>
      <c r="G185" s="171">
        <f t="shared" ref="G185:J185" si="110">G155+G164+G173</f>
        <v>88326.6</v>
      </c>
      <c r="H185" s="171">
        <f t="shared" si="110"/>
        <v>84425.600000000006</v>
      </c>
      <c r="I185" s="171">
        <f t="shared" si="110"/>
        <v>100360.6</v>
      </c>
      <c r="J185" s="171">
        <f t="shared" si="110"/>
        <v>128089.60000000001</v>
      </c>
      <c r="K185" s="174">
        <f>SUM(F185:J185)</f>
        <v>485155</v>
      </c>
      <c r="L185" s="158"/>
    </row>
    <row r="186" spans="1:17" s="106" customFormat="1" x14ac:dyDescent="0.25">
      <c r="A186" s="159" t="s">
        <v>570</v>
      </c>
      <c r="B186" s="159"/>
      <c r="C186" s="159"/>
      <c r="D186" s="159"/>
      <c r="E186" s="173">
        <f>I98+I104+I111</f>
        <v>33706</v>
      </c>
      <c r="F186" s="171">
        <f>F158+F167+F176</f>
        <v>38580.6</v>
      </c>
      <c r="G186" s="171">
        <f t="shared" ref="G186:J186" si="111">G158+G167+G176</f>
        <v>32143.833333333332</v>
      </c>
      <c r="H186" s="171">
        <f t="shared" si="111"/>
        <v>28545.293333333328</v>
      </c>
      <c r="I186" s="171">
        <f t="shared" si="111"/>
        <v>43014.473333333328</v>
      </c>
      <c r="J186" s="171">
        <f t="shared" si="111"/>
        <v>70977.736666666664</v>
      </c>
      <c r="K186" s="174">
        <f>SUM(F186:J186)</f>
        <v>213261.93666666665</v>
      </c>
      <c r="L186" s="158"/>
    </row>
    <row r="187" spans="1:17" s="106" customFormat="1" x14ac:dyDescent="0.25">
      <c r="A187" s="158"/>
      <c r="B187" s="158"/>
      <c r="C187" s="158"/>
      <c r="D187" s="158"/>
      <c r="E187" s="158"/>
      <c r="F187" s="158"/>
      <c r="G187" s="158"/>
      <c r="H187" s="158"/>
      <c r="I187" s="158"/>
      <c r="J187" s="158"/>
      <c r="K187" s="158"/>
      <c r="L187" s="158"/>
    </row>
    <row r="189" spans="1:17" x14ac:dyDescent="0.25">
      <c r="A189" s="143" t="s">
        <v>585</v>
      </c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  <c r="L189" s="114"/>
      <c r="M189" s="125"/>
      <c r="N189" s="125"/>
      <c r="O189" s="125"/>
      <c r="P189" s="125"/>
      <c r="Q189" s="125"/>
    </row>
    <row r="191" spans="1:17" x14ac:dyDescent="0.25">
      <c r="A191" s="162" t="s">
        <v>586</v>
      </c>
      <c r="B191" s="162"/>
      <c r="C191" s="162"/>
      <c r="D191" s="162"/>
      <c r="E191" s="162"/>
      <c r="F191" s="162"/>
      <c r="G191" s="162"/>
    </row>
    <row r="193" spans="1:14" x14ac:dyDescent="0.25">
      <c r="A193" s="820" t="s">
        <v>1516</v>
      </c>
      <c r="B193" s="811"/>
      <c r="C193" s="811"/>
      <c r="D193" s="811"/>
      <c r="E193" s="821">
        <f>Rozvaha!C1</f>
        <v>2012</v>
      </c>
      <c r="F193" s="821">
        <f>Rozvaha!D1</f>
        <v>2013</v>
      </c>
      <c r="G193" s="821">
        <f>Rozvaha!E1</f>
        <v>2014</v>
      </c>
      <c r="H193" s="821">
        <f>Rozvaha!F1</f>
        <v>2015</v>
      </c>
      <c r="I193" s="821">
        <f>Rozvaha!G1</f>
        <v>2016</v>
      </c>
      <c r="J193" s="822">
        <f>I193+1</f>
        <v>2017</v>
      </c>
      <c r="K193" s="822">
        <f t="shared" ref="K193:N193" si="112">J193+1</f>
        <v>2018</v>
      </c>
      <c r="L193" s="822">
        <f t="shared" si="112"/>
        <v>2019</v>
      </c>
      <c r="M193" s="822">
        <f t="shared" si="112"/>
        <v>2020</v>
      </c>
      <c r="N193" s="822">
        <f t="shared" si="112"/>
        <v>2021</v>
      </c>
    </row>
    <row r="194" spans="1:14" s="178" customFormat="1" x14ac:dyDescent="0.25">
      <c r="A194" s="161" t="s">
        <v>587</v>
      </c>
      <c r="B194" s="161"/>
      <c r="C194" s="161"/>
      <c r="D194" s="161"/>
      <c r="E194" s="139">
        <f>(E50-VZZ!C19)*(1-19%)</f>
        <v>42701.58</v>
      </c>
      <c r="F194" s="139">
        <f>(F50-VZZ!D19)*(1-19%)</f>
        <v>48053.25</v>
      </c>
      <c r="G194" s="139">
        <f>(G50-VZZ!E19)*(1-19%)</f>
        <v>36680.850000000006</v>
      </c>
      <c r="H194" s="139">
        <f>(H50-VZZ!F19)*(1-19%)</f>
        <v>50598.270000000004</v>
      </c>
      <c r="I194" s="139">
        <f>(I50-VZZ!G19)*(1-19%)</f>
        <v>58289.22</v>
      </c>
      <c r="J194" s="176">
        <f>(J50-F183)*(1-Plán!F7)</f>
        <v>56280.092845231266</v>
      </c>
      <c r="K194" s="176">
        <f>(K50-G183)*(1-Plán!G7)</f>
        <v>62848.481660852121</v>
      </c>
      <c r="L194" s="176">
        <f>(L50-H183)*(1-Plán!H7)</f>
        <v>77142.468809826663</v>
      </c>
      <c r="M194" s="176">
        <f>(M50-I183)*(1-Plán!I7)</f>
        <v>90599.159059912097</v>
      </c>
      <c r="N194" s="176">
        <f>(N50-J183)*(1-Plán!J7)</f>
        <v>106692.7396375988</v>
      </c>
    </row>
    <row r="195" spans="1:14" s="178" customFormat="1" x14ac:dyDescent="0.25">
      <c r="A195" s="161" t="s">
        <v>588</v>
      </c>
      <c r="B195" s="161"/>
      <c r="C195" s="161"/>
      <c r="D195" s="161"/>
      <c r="E195" s="130">
        <f>E194/E6</f>
        <v>2.966413384628851E-2</v>
      </c>
      <c r="F195" s="130">
        <f t="shared" ref="F195:I195" si="113">F194/F6</f>
        <v>2.719589910183199E-2</v>
      </c>
      <c r="G195" s="130">
        <f t="shared" si="113"/>
        <v>2.002647386081596E-2</v>
      </c>
      <c r="H195" s="130">
        <f t="shared" si="113"/>
        <v>2.6722198984732971E-2</v>
      </c>
      <c r="I195" s="130">
        <f t="shared" si="113"/>
        <v>2.8365163667578609E-2</v>
      </c>
      <c r="J195" s="131">
        <f t="shared" ref="J195" si="114">J194/J6</f>
        <v>2.3606041022780883E-2</v>
      </c>
      <c r="K195" s="131">
        <f t="shared" ref="K195" si="115">K194/K6</f>
        <v>2.3414624164908165E-2</v>
      </c>
      <c r="L195" s="131">
        <f t="shared" ref="L195" si="116">L194/L6</f>
        <v>2.5714404403325147E-2</v>
      </c>
      <c r="M195" s="131">
        <f t="shared" ref="M195" si="117">M194/M6</f>
        <v>2.7084471123381231E-2</v>
      </c>
      <c r="N195" s="131">
        <f t="shared" ref="N195" si="118">N194/N6</f>
        <v>2.8631407188319354E-2</v>
      </c>
    </row>
    <row r="196" spans="1:14" x14ac:dyDescent="0.25">
      <c r="A196" s="159" t="s">
        <v>589</v>
      </c>
      <c r="B196" s="159"/>
      <c r="C196" s="159"/>
      <c r="D196" s="159"/>
      <c r="E196" s="90"/>
      <c r="F196" s="778">
        <f>(I194/E194)^(1/4)-1</f>
        <v>8.0901388672818042E-2</v>
      </c>
      <c r="G196" s="778"/>
      <c r="H196" s="778"/>
      <c r="I196" s="778"/>
      <c r="J196" s="776">
        <f>(N194/I194)^(1/5)-1</f>
        <v>0.12852016746440853</v>
      </c>
      <c r="K196" s="776"/>
      <c r="L196" s="776"/>
      <c r="M196" s="776"/>
      <c r="N196" s="776"/>
    </row>
    <row r="198" spans="1:14" x14ac:dyDescent="0.25">
      <c r="A198" s="162" t="s">
        <v>590</v>
      </c>
      <c r="B198" s="162"/>
      <c r="C198" s="162"/>
      <c r="D198" s="162"/>
      <c r="E198" s="162"/>
      <c r="F198" s="162"/>
      <c r="G198" s="162"/>
    </row>
    <row r="200" spans="1:14" x14ac:dyDescent="0.25">
      <c r="A200" s="820" t="s">
        <v>1516</v>
      </c>
      <c r="B200" s="811"/>
      <c r="C200" s="811"/>
      <c r="D200" s="811"/>
      <c r="E200" s="821">
        <f>Rozvaha!C1</f>
        <v>2012</v>
      </c>
      <c r="F200" s="821">
        <f>Rozvaha!D1</f>
        <v>2013</v>
      </c>
      <c r="G200" s="821">
        <f>Rozvaha!E1</f>
        <v>2014</v>
      </c>
      <c r="H200" s="821">
        <f>Rozvaha!F1</f>
        <v>2015</v>
      </c>
      <c r="I200" s="821">
        <f>Rozvaha!G1</f>
        <v>2016</v>
      </c>
      <c r="J200" s="822">
        <f>I200+1</f>
        <v>2017</v>
      </c>
      <c r="K200" s="822">
        <f t="shared" ref="K200:N200" si="119">J200+1</f>
        <v>2018</v>
      </c>
      <c r="L200" s="822">
        <f t="shared" si="119"/>
        <v>2019</v>
      </c>
      <c r="M200" s="822">
        <f t="shared" si="119"/>
        <v>2020</v>
      </c>
      <c r="N200" s="822">
        <f t="shared" si="119"/>
        <v>2021</v>
      </c>
    </row>
    <row r="201" spans="1:14" x14ac:dyDescent="0.25">
      <c r="A201" s="161" t="s">
        <v>591</v>
      </c>
      <c r="B201" s="161"/>
      <c r="C201" s="161"/>
      <c r="D201" s="161"/>
      <c r="E201" s="139">
        <f>'Nutný-Nenutný'!F16</f>
        <v>389733.80000000005</v>
      </c>
      <c r="F201" s="139">
        <f>'Nutný-Nenutný'!G16</f>
        <v>443841</v>
      </c>
      <c r="G201" s="139">
        <f>'Nutný-Nenutný'!H16</f>
        <v>449463</v>
      </c>
      <c r="H201" s="139">
        <f>'Nutný-Nenutný'!I16</f>
        <v>438202.5</v>
      </c>
      <c r="I201" s="139">
        <f>'Nutný-Nenutný'!J16</f>
        <v>488911.1</v>
      </c>
      <c r="J201" s="176">
        <f>J84+F184</f>
        <v>559540.61840308842</v>
      </c>
      <c r="K201" s="176">
        <f t="shared" ref="K201:N201" si="120">K84+G184</f>
        <v>589865.19256322691</v>
      </c>
      <c r="L201" s="176">
        <f t="shared" si="120"/>
        <v>622428.5808292568</v>
      </c>
      <c r="M201" s="176">
        <f t="shared" si="120"/>
        <v>671813.88889711606</v>
      </c>
      <c r="N201" s="176">
        <f t="shared" si="120"/>
        <v>750610.42264612205</v>
      </c>
    </row>
    <row r="202" spans="1:14" x14ac:dyDescent="0.25">
      <c r="A202" s="159" t="s">
        <v>592</v>
      </c>
      <c r="B202" s="159"/>
      <c r="C202" s="159"/>
      <c r="D202" s="159"/>
      <c r="E202" s="91" t="s">
        <v>594</v>
      </c>
      <c r="F202" s="110">
        <f>F6/E201</f>
        <v>4.5336842737273484</v>
      </c>
      <c r="G202" s="110">
        <f t="shared" ref="G202:N202" si="121">G6/F201</f>
        <v>4.1267435861040331</v>
      </c>
      <c r="H202" s="110">
        <f t="shared" si="121"/>
        <v>4.2127872594629592</v>
      </c>
      <c r="I202" s="110">
        <f t="shared" si="121"/>
        <v>4.6895168329710577</v>
      </c>
      <c r="J202" s="111">
        <f t="shared" si="121"/>
        <v>4.8764272593806961</v>
      </c>
      <c r="K202" s="111">
        <f t="shared" si="121"/>
        <v>4.7970691674815873</v>
      </c>
      <c r="L202" s="111">
        <f t="shared" si="121"/>
        <v>5.0858587505438893</v>
      </c>
      <c r="M202" s="111">
        <f t="shared" si="121"/>
        <v>5.3742056419851805</v>
      </c>
      <c r="N202" s="111">
        <f t="shared" si="121"/>
        <v>5.546808794959067</v>
      </c>
    </row>
    <row r="203" spans="1:14" x14ac:dyDescent="0.25">
      <c r="A203" s="161" t="s">
        <v>593</v>
      </c>
      <c r="B203" s="161"/>
      <c r="C203" s="161"/>
      <c r="D203" s="161"/>
      <c r="E203" s="177" t="s">
        <v>594</v>
      </c>
      <c r="F203" s="130">
        <f>F195*F202</f>
        <v>0.12329762006785142</v>
      </c>
      <c r="G203" s="130">
        <f t="shared" ref="G203:I203" si="122">G195*G202</f>
        <v>8.2644122557402333E-2</v>
      </c>
      <c r="H203" s="130">
        <f t="shared" si="122"/>
        <v>0.11257493942771708</v>
      </c>
      <c r="I203" s="130">
        <f t="shared" si="122"/>
        <v>0.13301891248908895</v>
      </c>
      <c r="J203" s="131">
        <f t="shared" ref="J203" si="123">J195*J202</f>
        <v>0.11511314192954766</v>
      </c>
      <c r="K203" s="131">
        <f t="shared" ref="K203" si="124">K195*K202</f>
        <v>0.11232157164965027</v>
      </c>
      <c r="L203" s="131">
        <f t="shared" ref="L203" si="125">L195*L202</f>
        <v>0.13077982864967552</v>
      </c>
      <c r="M203" s="131">
        <f t="shared" ref="M203" si="126">M195*M202</f>
        <v>0.14555751752146012</v>
      </c>
      <c r="N203" s="131">
        <f t="shared" ref="N203" si="127">N195*N202</f>
        <v>0.15881294120422404</v>
      </c>
    </row>
  </sheetData>
  <mergeCells count="57">
    <mergeCell ref="A3:D3"/>
    <mergeCell ref="A57:D57"/>
    <mergeCell ref="A28:D28"/>
    <mergeCell ref="A19:D19"/>
    <mergeCell ref="A15:D15"/>
    <mergeCell ref="A10:D10"/>
    <mergeCell ref="A193:D193"/>
    <mergeCell ref="A200:D200"/>
    <mergeCell ref="A151:D151"/>
    <mergeCell ref="A94:D94"/>
    <mergeCell ref="A77:D77"/>
    <mergeCell ref="F43:I43"/>
    <mergeCell ref="J43:N43"/>
    <mergeCell ref="F48:I48"/>
    <mergeCell ref="J48:N48"/>
    <mergeCell ref="F5:I5"/>
    <mergeCell ref="J5:N5"/>
    <mergeCell ref="F12:I12"/>
    <mergeCell ref="J12:N12"/>
    <mergeCell ref="F39:I39"/>
    <mergeCell ref="J39:N39"/>
    <mergeCell ref="E85:I85"/>
    <mergeCell ref="J85:N85"/>
    <mergeCell ref="E100:I100"/>
    <mergeCell ref="E106:I106"/>
    <mergeCell ref="E113:I113"/>
    <mergeCell ref="F117:G117"/>
    <mergeCell ref="E120:F120"/>
    <mergeCell ref="G120:I120"/>
    <mergeCell ref="E121:F121"/>
    <mergeCell ref="E122:F122"/>
    <mergeCell ref="E123:F123"/>
    <mergeCell ref="E124:F124"/>
    <mergeCell ref="G121:I121"/>
    <mergeCell ref="G122:I122"/>
    <mergeCell ref="G123:I123"/>
    <mergeCell ref="G124:I124"/>
    <mergeCell ref="E127:F127"/>
    <mergeCell ref="G127:I127"/>
    <mergeCell ref="E134:F134"/>
    <mergeCell ref="G134:I134"/>
    <mergeCell ref="E141:F141"/>
    <mergeCell ref="G141:I141"/>
    <mergeCell ref="E128:F128"/>
    <mergeCell ref="E129:F129"/>
    <mergeCell ref="E130:F130"/>
    <mergeCell ref="E131:F131"/>
    <mergeCell ref="G128:I128"/>
    <mergeCell ref="G129:I129"/>
    <mergeCell ref="G130:I130"/>
    <mergeCell ref="G131:I131"/>
    <mergeCell ref="J196:N196"/>
    <mergeCell ref="G135:I135"/>
    <mergeCell ref="G136:I136"/>
    <mergeCell ref="G137:I137"/>
    <mergeCell ref="G138:I138"/>
    <mergeCell ref="F196:I196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4532A-8635-4A00-AAD1-12FB3371C812}">
  <dimension ref="A2:N185"/>
  <sheetViews>
    <sheetView topLeftCell="A166" zoomScale="80" zoomScaleNormal="80" workbookViewId="0">
      <selection activeCell="M92" sqref="M92"/>
    </sheetView>
  </sheetViews>
  <sheetFormatPr defaultRowHeight="15" x14ac:dyDescent="0.25"/>
  <cols>
    <col min="1" max="3" width="9.140625" style="180"/>
    <col min="4" max="4" width="25.42578125" style="180" customWidth="1"/>
    <col min="5" max="10" width="10.5703125" style="180" customWidth="1"/>
  </cols>
  <sheetData>
    <row r="2" spans="1:13" x14ac:dyDescent="0.25">
      <c r="A2" s="830" t="s">
        <v>597</v>
      </c>
      <c r="B2" s="830"/>
      <c r="C2" s="830"/>
      <c r="D2" s="830"/>
      <c r="E2" s="830"/>
      <c r="F2" s="830"/>
      <c r="G2" s="830"/>
      <c r="H2" s="830"/>
      <c r="I2" s="830"/>
      <c r="J2" s="830"/>
      <c r="K2" s="179"/>
      <c r="L2" s="179"/>
      <c r="M2" s="179"/>
    </row>
    <row r="3" spans="1:13" x14ac:dyDescent="0.25">
      <c r="F3" s="831" t="s">
        <v>571</v>
      </c>
      <c r="G3" s="831"/>
      <c r="H3" s="832"/>
      <c r="I3" s="832"/>
      <c r="J3" s="833">
        <v>0.05</v>
      </c>
    </row>
    <row r="4" spans="1:13" x14ac:dyDescent="0.25">
      <c r="F4" s="834" t="s">
        <v>572</v>
      </c>
      <c r="G4" s="834"/>
      <c r="H4" s="835"/>
      <c r="I4" s="835"/>
      <c r="J4" s="836">
        <v>5.5E-2</v>
      </c>
    </row>
    <row r="5" spans="1:13" x14ac:dyDescent="0.25">
      <c r="F5" s="837" t="s">
        <v>573</v>
      </c>
      <c r="G5" s="837"/>
      <c r="H5" s="838"/>
      <c r="I5" s="838"/>
      <c r="J5" s="839">
        <v>0.04</v>
      </c>
    </row>
    <row r="6" spans="1:13" x14ac:dyDescent="0.25">
      <c r="G6" s="840"/>
      <c r="H6" s="840"/>
      <c r="I6" s="840"/>
      <c r="J6" s="841"/>
    </row>
    <row r="7" spans="1:13" x14ac:dyDescent="0.25">
      <c r="A7" s="842" t="s">
        <v>574</v>
      </c>
      <c r="B7" s="843"/>
      <c r="C7" s="843"/>
      <c r="D7" s="843"/>
      <c r="E7" s="844">
        <v>0.19</v>
      </c>
      <c r="F7" s="844">
        <v>0.19</v>
      </c>
      <c r="G7" s="844">
        <v>0.19</v>
      </c>
      <c r="H7" s="844">
        <v>0.19</v>
      </c>
      <c r="I7" s="844">
        <v>0.19</v>
      </c>
      <c r="J7" s="845">
        <v>0.19</v>
      </c>
    </row>
    <row r="9" spans="1:13" x14ac:dyDescent="0.25">
      <c r="A9" s="143" t="s">
        <v>575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</row>
    <row r="10" spans="1:13" x14ac:dyDescent="0.25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</row>
    <row r="11" spans="1:13" x14ac:dyDescent="0.25">
      <c r="A11" s="846" t="s">
        <v>576</v>
      </c>
      <c r="B11" s="146"/>
      <c r="C11" s="146"/>
      <c r="D11" s="146"/>
      <c r="E11" s="323">
        <f>Rozvaha!G1</f>
        <v>2016</v>
      </c>
      <c r="F11" s="152">
        <f>E11+1</f>
        <v>2017</v>
      </c>
      <c r="G11" s="153">
        <f>F11+1</f>
        <v>2018</v>
      </c>
      <c r="H11" s="153">
        <f>G11+1</f>
        <v>2019</v>
      </c>
      <c r="I11" s="847">
        <f>H11+1</f>
        <v>2020</v>
      </c>
      <c r="J11" s="153">
        <f>I11+1</f>
        <v>2021</v>
      </c>
    </row>
    <row r="12" spans="1:13" x14ac:dyDescent="0.25">
      <c r="A12" s="848" t="s">
        <v>194</v>
      </c>
      <c r="B12" s="148"/>
      <c r="C12" s="148"/>
      <c r="D12" s="148"/>
      <c r="E12" s="849">
        <f>VZZ!G2</f>
        <v>2054958</v>
      </c>
      <c r="F12" s="850">
        <f>Generátory!J6</f>
        <v>2384139.4154538014</v>
      </c>
      <c r="G12" s="850">
        <f>Generátory!K6</f>
        <v>2684155.0484950361</v>
      </c>
      <c r="H12" s="850">
        <f>Generátory!L6</f>
        <v>2999971.0512389438</v>
      </c>
      <c r="I12" s="850">
        <f>Generátory!M6</f>
        <v>3345059.1908254209</v>
      </c>
      <c r="J12" s="850">
        <f>Generátory!N6</f>
        <v>3726423.187510177</v>
      </c>
    </row>
    <row r="13" spans="1:13" x14ac:dyDescent="0.25">
      <c r="A13" s="848" t="s">
        <v>195</v>
      </c>
      <c r="B13" s="148"/>
      <c r="C13" s="148"/>
      <c r="D13" s="148"/>
      <c r="E13" s="849">
        <f>VZZ!G3</f>
        <v>1771536</v>
      </c>
      <c r="F13" s="850">
        <f>Generátory!J20</f>
        <v>2035299.0249220091</v>
      </c>
      <c r="G13" s="850">
        <f>Generátory!K20</f>
        <v>2299785.5170709579</v>
      </c>
      <c r="H13" s="850">
        <f>Generátory!L20</f>
        <v>2573383.1262151953</v>
      </c>
      <c r="I13" s="850">
        <f>Generátory!M20</f>
        <v>2870704.2419806602</v>
      </c>
      <c r="J13" s="850">
        <f>Generátory!N20</f>
        <v>3198633.3390643341</v>
      </c>
    </row>
    <row r="14" spans="1:13" x14ac:dyDescent="0.25">
      <c r="A14" s="848" t="s">
        <v>208</v>
      </c>
      <c r="B14" s="148"/>
      <c r="C14" s="148"/>
      <c r="D14" s="148"/>
      <c r="E14" s="849">
        <f>VZZ!G10</f>
        <v>31198</v>
      </c>
      <c r="F14" s="850">
        <f>Generátory!J21</f>
        <v>44275.576811207837</v>
      </c>
      <c r="G14" s="850">
        <f>Generátory!K21</f>
        <v>46691.75466568191</v>
      </c>
      <c r="H14" s="850">
        <f>Generátory!L21</f>
        <v>51051.91524826549</v>
      </c>
      <c r="I14" s="850">
        <f>Generátory!M21</f>
        <v>56432.903529835712</v>
      </c>
      <c r="J14" s="850">
        <f>Generátory!N21</f>
        <v>62623.346264859574</v>
      </c>
    </row>
    <row r="15" spans="1:13" x14ac:dyDescent="0.25">
      <c r="A15" s="848" t="s">
        <v>212</v>
      </c>
      <c r="B15" s="148"/>
      <c r="C15" s="148"/>
      <c r="D15" s="148"/>
      <c r="E15" s="849">
        <f>VZZ!G13</f>
        <v>129686</v>
      </c>
      <c r="F15" s="850">
        <f>Generátory!J22</f>
        <v>179066.78169276082</v>
      </c>
      <c r="G15" s="850">
        <f>Generátory!K22</f>
        <v>193242.5259291619</v>
      </c>
      <c r="H15" s="850">
        <f>Generátory!L22</f>
        <v>212976.84225953033</v>
      </c>
      <c r="I15" s="850">
        <f>Generátory!M22</f>
        <v>236173.72919973405</v>
      </c>
      <c r="J15" s="850">
        <f>Generátory!N22</f>
        <v>262454.84677223442</v>
      </c>
    </row>
    <row r="16" spans="1:13" x14ac:dyDescent="0.25">
      <c r="A16" s="848" t="s">
        <v>577</v>
      </c>
      <c r="B16" s="148"/>
      <c r="C16" s="148"/>
      <c r="D16" s="148"/>
      <c r="E16" s="849">
        <f>VZZ!G19</f>
        <v>45372</v>
      </c>
      <c r="F16" s="850">
        <f>Generátory!F183</f>
        <v>45372</v>
      </c>
      <c r="G16" s="850">
        <f>Generátory!G183</f>
        <v>56182.766666666663</v>
      </c>
      <c r="H16" s="850">
        <f>Generátory!H183</f>
        <v>55880.306666666671</v>
      </c>
      <c r="I16" s="850">
        <f>Generátory!I183</f>
        <v>57346.126666666671</v>
      </c>
      <c r="J16" s="850">
        <f>Generátory!J183</f>
        <v>57111.863333333335</v>
      </c>
    </row>
    <row r="17" spans="1:14" x14ac:dyDescent="0.25">
      <c r="A17" s="848" t="s">
        <v>222</v>
      </c>
      <c r="B17" s="148"/>
      <c r="C17" s="148"/>
      <c r="D17" s="148"/>
      <c r="E17" s="849">
        <f>VZZ!G18</f>
        <v>4110</v>
      </c>
      <c r="F17" s="850">
        <f>Generátory!J25</f>
        <v>7985.2398096426032</v>
      </c>
      <c r="G17" s="850">
        <f>Generátory!K25</f>
        <v>8465.9090362840925</v>
      </c>
      <c r="H17" s="850">
        <f>Generátory!L25</f>
        <v>9273.6927409521813</v>
      </c>
      <c r="I17" s="850">
        <f>Generátory!M25</f>
        <v>10258.794682355825</v>
      </c>
      <c r="J17" s="850">
        <f>Generátory!N25</f>
        <v>11387.952014758321</v>
      </c>
    </row>
    <row r="18" spans="1:14" x14ac:dyDescent="0.25">
      <c r="A18" s="848" t="s">
        <v>520</v>
      </c>
      <c r="B18" s="148"/>
      <c r="C18" s="148"/>
      <c r="D18" s="148"/>
      <c r="E18" s="849">
        <f>VZZ!G26</f>
        <v>1094</v>
      </c>
      <c r="F18" s="850">
        <f>Generátory!I26</f>
        <v>1094</v>
      </c>
      <c r="G18" s="850">
        <f>Generátory!J26</f>
        <v>2659.1961129572933</v>
      </c>
      <c r="H18" s="850">
        <f>Generátory!K26</f>
        <v>2195.8570264661685</v>
      </c>
      <c r="I18" s="850">
        <f>Generátory!L26</f>
        <v>2167.552293733067</v>
      </c>
      <c r="J18" s="850">
        <f>Generátory!M26</f>
        <v>2292.5811119559507</v>
      </c>
    </row>
    <row r="19" spans="1:14" x14ac:dyDescent="0.25">
      <c r="A19" s="851" t="s">
        <v>499</v>
      </c>
      <c r="B19" s="148"/>
      <c r="C19" s="148"/>
      <c r="D19" s="148"/>
      <c r="E19" s="852">
        <f>E12-E13-E14-E15-E16-E17-E18</f>
        <v>71962</v>
      </c>
      <c r="F19" s="853">
        <f t="shared" ref="F19:J19" si="0">F12-F13-F14-F15-F16-F17-F18</f>
        <v>71046.792218181072</v>
      </c>
      <c r="G19" s="853">
        <f t="shared" si="0"/>
        <v>77127.379013326296</v>
      </c>
      <c r="H19" s="853">
        <f t="shared" si="0"/>
        <v>95209.311081867694</v>
      </c>
      <c r="I19" s="853">
        <f t="shared" si="0"/>
        <v>111975.84247243534</v>
      </c>
      <c r="J19" s="853">
        <f t="shared" si="0"/>
        <v>131919.2589487014</v>
      </c>
    </row>
    <row r="20" spans="1:14" x14ac:dyDescent="0.25">
      <c r="A20" s="854"/>
      <c r="B20" s="145"/>
      <c r="C20" s="145"/>
      <c r="D20" s="145"/>
      <c r="E20" s="855"/>
      <c r="F20" s="855"/>
      <c r="G20" s="855"/>
      <c r="H20" s="855"/>
      <c r="I20" s="855"/>
      <c r="J20" s="145"/>
    </row>
    <row r="21" spans="1:14" x14ac:dyDescent="0.25">
      <c r="A21" s="143" t="s">
        <v>578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4" x14ac:dyDescent="0.25">
      <c r="A22" s="147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</row>
    <row r="23" spans="1:14" x14ac:dyDescent="0.25">
      <c r="A23" s="846" t="s">
        <v>576</v>
      </c>
      <c r="B23" s="146"/>
      <c r="C23" s="146"/>
      <c r="D23" s="146"/>
      <c r="E23" s="323">
        <f>Rozvaha!G1</f>
        <v>2016</v>
      </c>
      <c r="F23" s="152">
        <f>E23+1</f>
        <v>2017</v>
      </c>
      <c r="G23" s="153">
        <f>F23+1</f>
        <v>2018</v>
      </c>
      <c r="H23" s="153">
        <f>G23+1</f>
        <v>2019</v>
      </c>
      <c r="I23" s="847">
        <f>H23+1</f>
        <v>2020</v>
      </c>
      <c r="J23" s="153">
        <f>I23+1</f>
        <v>2021</v>
      </c>
    </row>
    <row r="24" spans="1:14" x14ac:dyDescent="0.25">
      <c r="A24" s="856" t="s">
        <v>273</v>
      </c>
      <c r="B24" s="148"/>
      <c r="C24" s="148"/>
      <c r="D24" s="148"/>
      <c r="E24" s="857">
        <f>VZZ!G46</f>
        <v>10536</v>
      </c>
      <c r="F24" s="850">
        <f>$J$3*E144+$J$4*E151+$J$5*E152</f>
        <v>8746.77</v>
      </c>
      <c r="G24" s="850">
        <f t="shared" ref="G24:J24" si="1">$J$3*F144+$J$4*F151+$J$5*F152</f>
        <v>8746.77</v>
      </c>
      <c r="H24" s="850">
        <f t="shared" si="1"/>
        <v>8746.77</v>
      </c>
      <c r="I24" s="850">
        <f t="shared" si="1"/>
        <v>8746.77</v>
      </c>
      <c r="J24" s="850">
        <f t="shared" si="1"/>
        <v>8746.77</v>
      </c>
    </row>
    <row r="25" spans="1:14" x14ac:dyDescent="0.25">
      <c r="A25" s="858"/>
      <c r="B25" s="145"/>
      <c r="C25" s="145"/>
      <c r="D25" s="145"/>
      <c r="E25" s="859"/>
      <c r="F25" s="859"/>
      <c r="G25" s="859"/>
      <c r="H25" s="859"/>
      <c r="I25" s="859"/>
      <c r="J25" s="145"/>
    </row>
    <row r="26" spans="1:14" ht="15.75" x14ac:dyDescent="0.25">
      <c r="A26" s="143" t="s">
        <v>1517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4" x14ac:dyDescent="0.25">
      <c r="A27" s="147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83"/>
    </row>
    <row r="28" spans="1:14" x14ac:dyDescent="0.25">
      <c r="A28" s="846" t="s">
        <v>576</v>
      </c>
      <c r="B28" s="146"/>
      <c r="C28" s="146"/>
      <c r="D28" s="146"/>
      <c r="E28" s="323">
        <f>Rozvaha!G1</f>
        <v>2016</v>
      </c>
      <c r="F28" s="152">
        <f>E28+1</f>
        <v>2017</v>
      </c>
      <c r="G28" s="153">
        <f>F28+1</f>
        <v>2018</v>
      </c>
      <c r="H28" s="153">
        <f>G28+1</f>
        <v>2019</v>
      </c>
      <c r="I28" s="847">
        <f>H28+1</f>
        <v>2020</v>
      </c>
      <c r="J28" s="153">
        <f>I28+1</f>
        <v>2021</v>
      </c>
    </row>
    <row r="29" spans="1:14" x14ac:dyDescent="0.25">
      <c r="A29" s="848" t="s">
        <v>253</v>
      </c>
      <c r="B29" s="148"/>
      <c r="C29" s="148"/>
      <c r="D29" s="148"/>
      <c r="E29" s="860">
        <f>VZZ!G44</f>
        <v>64</v>
      </c>
      <c r="F29" s="861">
        <f>E29</f>
        <v>64</v>
      </c>
      <c r="G29" s="861">
        <f t="shared" ref="G29:J29" si="2">F29</f>
        <v>64</v>
      </c>
      <c r="H29" s="861">
        <f t="shared" si="2"/>
        <v>64</v>
      </c>
      <c r="I29" s="861">
        <f t="shared" si="2"/>
        <v>64</v>
      </c>
      <c r="J29" s="861">
        <f t="shared" si="2"/>
        <v>64</v>
      </c>
    </row>
    <row r="30" spans="1:14" x14ac:dyDescent="0.25">
      <c r="A30" s="848" t="s">
        <v>579</v>
      </c>
      <c r="B30" s="148"/>
      <c r="C30" s="148"/>
      <c r="D30" s="148"/>
      <c r="E30" s="860">
        <f>VZZ!G45</f>
        <v>215</v>
      </c>
      <c r="F30" s="861">
        <f>E123*0.005</f>
        <v>254.08</v>
      </c>
      <c r="G30" s="861">
        <f t="shared" ref="G30:J30" si="3">F123*0.005</f>
        <v>38.18966042608816</v>
      </c>
      <c r="H30" s="861">
        <f t="shared" si="3"/>
        <v>107.52720913084494</v>
      </c>
      <c r="I30" s="861">
        <f t="shared" si="3"/>
        <v>211.31092486248031</v>
      </c>
      <c r="J30" s="861">
        <f t="shared" si="3"/>
        <v>250.40567417742218</v>
      </c>
    </row>
    <row r="31" spans="1:14" x14ac:dyDescent="0.25">
      <c r="A31" s="848" t="s">
        <v>301</v>
      </c>
      <c r="B31" s="148"/>
      <c r="C31" s="148"/>
      <c r="D31" s="148"/>
      <c r="E31" s="860">
        <f>VZZ!G27-VZZ!G28</f>
        <v>2453</v>
      </c>
      <c r="F31" s="861">
        <v>0</v>
      </c>
      <c r="G31" s="861">
        <v>0</v>
      </c>
      <c r="H31" s="861">
        <v>0</v>
      </c>
      <c r="I31" s="861">
        <v>0</v>
      </c>
      <c r="J31" s="861">
        <v>0</v>
      </c>
    </row>
    <row r="32" spans="1:14" x14ac:dyDescent="0.25">
      <c r="A32" s="851" t="s">
        <v>580</v>
      </c>
      <c r="B32" s="148"/>
      <c r="C32" s="148"/>
      <c r="D32" s="148"/>
      <c r="E32" s="862">
        <f>SUM(E29:E31)</f>
        <v>2732</v>
      </c>
      <c r="F32" s="863">
        <f>SUM(F29:F31)</f>
        <v>318.08000000000004</v>
      </c>
      <c r="G32" s="863">
        <f t="shared" ref="G32:J32" si="4">SUM(G29:G31)</f>
        <v>102.18966042608815</v>
      </c>
      <c r="H32" s="863">
        <f t="shared" si="4"/>
        <v>171.52720913084494</v>
      </c>
      <c r="I32" s="863">
        <f t="shared" si="4"/>
        <v>275.31092486248031</v>
      </c>
      <c r="J32" s="863">
        <f t="shared" si="4"/>
        <v>314.40567417742216</v>
      </c>
    </row>
    <row r="33" spans="1:13" x14ac:dyDescent="0.25">
      <c r="A33" s="854"/>
      <c r="B33" s="145"/>
      <c r="C33" s="145"/>
      <c r="D33" s="145"/>
      <c r="E33" s="864"/>
      <c r="F33" s="864"/>
      <c r="G33" s="864"/>
      <c r="H33" s="864"/>
      <c r="I33" s="864"/>
      <c r="J33" s="145"/>
    </row>
    <row r="34" spans="1:13" x14ac:dyDescent="0.25">
      <c r="A34" s="143" t="s">
        <v>581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</row>
    <row r="35" spans="1:13" x14ac:dyDescent="0.25">
      <c r="A35" s="147"/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</row>
    <row r="36" spans="1:13" x14ac:dyDescent="0.25">
      <c r="A36" s="846" t="s">
        <v>576</v>
      </c>
      <c r="B36" s="846"/>
      <c r="C36" s="846"/>
      <c r="D36" s="846"/>
      <c r="E36" s="323">
        <f>Rozvaha!G1</f>
        <v>2016</v>
      </c>
      <c r="F36" s="152">
        <f>E36+1</f>
        <v>2017</v>
      </c>
      <c r="G36" s="153">
        <f>F36+1</f>
        <v>2018</v>
      </c>
      <c r="H36" s="153">
        <f>G36+1</f>
        <v>2019</v>
      </c>
      <c r="I36" s="847">
        <f>H36+1</f>
        <v>2020</v>
      </c>
      <c r="J36" s="153">
        <f>I36+1</f>
        <v>2021</v>
      </c>
    </row>
    <row r="37" spans="1:13" x14ac:dyDescent="0.25">
      <c r="A37" s="865" t="s">
        <v>582</v>
      </c>
      <c r="B37" s="148"/>
      <c r="C37" s="148"/>
      <c r="D37" s="148"/>
      <c r="E37" s="862">
        <f>E19-E24+E32</f>
        <v>64158</v>
      </c>
      <c r="F37" s="863">
        <f t="shared" ref="F37:J37" si="5">F19-F24+F32</f>
        <v>62618.102218181069</v>
      </c>
      <c r="G37" s="863">
        <f t="shared" si="5"/>
        <v>68482.798673752375</v>
      </c>
      <c r="H37" s="863">
        <f t="shared" si="5"/>
        <v>86634.068290998533</v>
      </c>
      <c r="I37" s="863">
        <f t="shared" si="5"/>
        <v>103504.38339729782</v>
      </c>
      <c r="J37" s="863">
        <f t="shared" si="5"/>
        <v>123486.89462287883</v>
      </c>
    </row>
    <row r="38" spans="1:13" x14ac:dyDescent="0.25">
      <c r="A38" s="848" t="s">
        <v>583</v>
      </c>
      <c r="B38" s="148"/>
      <c r="C38" s="148"/>
      <c r="D38" s="148"/>
      <c r="E38" s="860">
        <f>VZZ!G53</f>
        <v>12190</v>
      </c>
      <c r="F38" s="861">
        <f>F37*F7</f>
        <v>11897.439421454403</v>
      </c>
      <c r="G38" s="861">
        <f t="shared" ref="G38:J38" si="6">G37*G7</f>
        <v>13011.731748012951</v>
      </c>
      <c r="H38" s="861">
        <f t="shared" si="6"/>
        <v>16460.472975289722</v>
      </c>
      <c r="I38" s="861">
        <f t="shared" si="6"/>
        <v>19665.832845486584</v>
      </c>
      <c r="J38" s="861">
        <f t="shared" si="6"/>
        <v>23462.509978346978</v>
      </c>
    </row>
    <row r="39" spans="1:13" x14ac:dyDescent="0.25">
      <c r="A39" s="851" t="s">
        <v>584</v>
      </c>
      <c r="B39" s="148"/>
      <c r="C39" s="148"/>
      <c r="D39" s="148"/>
      <c r="E39" s="862">
        <f>E37-E38</f>
        <v>51968</v>
      </c>
      <c r="F39" s="863">
        <f t="shared" ref="F39:J39" si="7">F37-F38</f>
        <v>50720.662796726669</v>
      </c>
      <c r="G39" s="863">
        <f t="shared" si="7"/>
        <v>55471.066925739426</v>
      </c>
      <c r="H39" s="863">
        <f t="shared" si="7"/>
        <v>70173.595315708808</v>
      </c>
      <c r="I39" s="863">
        <f t="shared" si="7"/>
        <v>83838.550551811233</v>
      </c>
      <c r="J39" s="863">
        <f t="shared" si="7"/>
        <v>100024.38464453185</v>
      </c>
    </row>
    <row r="40" spans="1:13" x14ac:dyDescent="0.25">
      <c r="E40" s="866"/>
      <c r="F40" s="866"/>
      <c r="G40" s="866"/>
      <c r="H40" s="866"/>
      <c r="I40" s="866"/>
    </row>
    <row r="42" spans="1:13" x14ac:dyDescent="0.25">
      <c r="A42" s="830" t="s">
        <v>598</v>
      </c>
      <c r="B42" s="830"/>
      <c r="C42" s="830"/>
      <c r="D42" s="830"/>
      <c r="E42" s="830"/>
      <c r="F42" s="830"/>
      <c r="G42" s="830"/>
      <c r="H42" s="830"/>
      <c r="I42" s="830"/>
      <c r="J42" s="830"/>
      <c r="K42" s="179"/>
      <c r="L42" s="179"/>
      <c r="M42" s="179"/>
    </row>
    <row r="44" spans="1:13" x14ac:dyDescent="0.25">
      <c r="A44" s="829" t="s">
        <v>1516</v>
      </c>
      <c r="B44" s="828"/>
      <c r="C44" s="828"/>
      <c r="D44" s="828"/>
      <c r="E44" s="323">
        <f>Rozvaha!G1</f>
        <v>2016</v>
      </c>
      <c r="F44" s="152">
        <f>E44+1</f>
        <v>2017</v>
      </c>
      <c r="G44" s="153">
        <f>F44+1</f>
        <v>2018</v>
      </c>
      <c r="H44" s="153">
        <f>G44+1</f>
        <v>2019</v>
      </c>
      <c r="I44" s="847">
        <f>H44+1</f>
        <v>2020</v>
      </c>
      <c r="J44" s="153">
        <f>I44+1</f>
        <v>2021</v>
      </c>
    </row>
    <row r="45" spans="1:13" x14ac:dyDescent="0.25">
      <c r="A45" s="851" t="s">
        <v>599</v>
      </c>
      <c r="B45" s="851"/>
      <c r="C45" s="851"/>
      <c r="D45" s="851"/>
      <c r="E45" s="867">
        <f>CashFlow!I4</f>
        <v>43058</v>
      </c>
      <c r="F45" s="868">
        <f>E100</f>
        <v>50816</v>
      </c>
      <c r="G45" s="868">
        <f t="shared" ref="G45:J45" si="8">F100</f>
        <v>7637.9320852176315</v>
      </c>
      <c r="H45" s="868">
        <f t="shared" si="8"/>
        <v>21505.441826168986</v>
      </c>
      <c r="I45" s="868">
        <f t="shared" si="8"/>
        <v>42262.184972496063</v>
      </c>
      <c r="J45" s="868">
        <f t="shared" si="8"/>
        <v>50081.134835484438</v>
      </c>
    </row>
    <row r="47" spans="1:13" x14ac:dyDescent="0.25">
      <c r="A47" s="143" t="s">
        <v>629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</row>
    <row r="48" spans="1:13" x14ac:dyDescent="0.25">
      <c r="A48" s="869" t="s">
        <v>630</v>
      </c>
      <c r="B48" s="870"/>
      <c r="C48" s="870"/>
      <c r="D48" s="870"/>
      <c r="E48" s="323">
        <f>Rozvaha!G1</f>
        <v>2016</v>
      </c>
      <c r="F48" s="152">
        <f>E48+1</f>
        <v>2017</v>
      </c>
      <c r="G48" s="153">
        <f>F48+1</f>
        <v>2018</v>
      </c>
      <c r="H48" s="153">
        <f>G48+1</f>
        <v>2019</v>
      </c>
      <c r="I48" s="847">
        <f>H48+1</f>
        <v>2020</v>
      </c>
      <c r="J48" s="153">
        <f>I48+1</f>
        <v>2021</v>
      </c>
    </row>
    <row r="49" spans="1:10" x14ac:dyDescent="0.25">
      <c r="A49" s="856" t="s">
        <v>1518</v>
      </c>
      <c r="B49" s="848"/>
      <c r="C49" s="848"/>
      <c r="D49" s="848"/>
      <c r="E49" s="867">
        <f>E19</f>
        <v>71962</v>
      </c>
      <c r="F49" s="868">
        <f t="shared" ref="F49:J49" si="9">F19</f>
        <v>71046.792218181072</v>
      </c>
      <c r="G49" s="868">
        <f t="shared" si="9"/>
        <v>77127.379013326296</v>
      </c>
      <c r="H49" s="868">
        <f t="shared" si="9"/>
        <v>95209.311081867694</v>
      </c>
      <c r="I49" s="868">
        <f t="shared" si="9"/>
        <v>111975.84247243534</v>
      </c>
      <c r="J49" s="868">
        <f t="shared" si="9"/>
        <v>131919.2589487014</v>
      </c>
    </row>
    <row r="50" spans="1:10" x14ac:dyDescent="0.25">
      <c r="A50" s="848" t="s">
        <v>1519</v>
      </c>
      <c r="B50" s="848"/>
      <c r="C50" s="848"/>
      <c r="D50" s="848"/>
      <c r="E50" s="867">
        <f>E49*E7</f>
        <v>13672.78</v>
      </c>
      <c r="F50" s="868">
        <f t="shared" ref="F50:J50" si="10">F49*F7</f>
        <v>13498.890521454403</v>
      </c>
      <c r="G50" s="868">
        <f t="shared" si="10"/>
        <v>14654.202012531996</v>
      </c>
      <c r="H50" s="868">
        <f t="shared" si="10"/>
        <v>18089.76910555486</v>
      </c>
      <c r="I50" s="868">
        <f t="shared" si="10"/>
        <v>21275.410069762715</v>
      </c>
      <c r="J50" s="868">
        <f t="shared" si="10"/>
        <v>25064.659200253267</v>
      </c>
    </row>
    <row r="51" spans="1:10" x14ac:dyDescent="0.25">
      <c r="A51" s="856" t="s">
        <v>631</v>
      </c>
      <c r="B51" s="848"/>
      <c r="C51" s="848"/>
      <c r="D51" s="848"/>
      <c r="E51" s="867">
        <f>E49-E50</f>
        <v>58289.22</v>
      </c>
      <c r="F51" s="868">
        <f t="shared" ref="F51:J51" si="11">F49-F50</f>
        <v>57547.901696726665</v>
      </c>
      <c r="G51" s="868">
        <f t="shared" si="11"/>
        <v>62473.177000794298</v>
      </c>
      <c r="H51" s="868">
        <f t="shared" si="11"/>
        <v>77119.54197631283</v>
      </c>
      <c r="I51" s="868">
        <f t="shared" si="11"/>
        <v>90700.432402672624</v>
      </c>
      <c r="J51" s="868">
        <f t="shared" si="11"/>
        <v>106854.59974844813</v>
      </c>
    </row>
    <row r="52" spans="1:10" x14ac:dyDescent="0.25">
      <c r="A52" s="856" t="s">
        <v>601</v>
      </c>
      <c r="B52" s="848"/>
      <c r="C52" s="848"/>
      <c r="D52" s="848"/>
      <c r="E52" s="182">
        <f>SUM(E53:E54)</f>
        <v>46466</v>
      </c>
      <c r="F52" s="183">
        <f t="shared" ref="F52:J52" si="12">SUM(F53:F54)</f>
        <v>46466</v>
      </c>
      <c r="G52" s="183">
        <f t="shared" si="12"/>
        <v>58841.962779623958</v>
      </c>
      <c r="H52" s="183">
        <f t="shared" si="12"/>
        <v>58076.163693132839</v>
      </c>
      <c r="I52" s="183">
        <f t="shared" si="12"/>
        <v>59513.678960399739</v>
      </c>
      <c r="J52" s="183">
        <f t="shared" si="12"/>
        <v>59404.444445289286</v>
      </c>
    </row>
    <row r="53" spans="1:10" x14ac:dyDescent="0.25">
      <c r="A53" s="848" t="s">
        <v>632</v>
      </c>
      <c r="B53" s="848"/>
      <c r="C53" s="848"/>
      <c r="D53" s="848"/>
      <c r="E53" s="867">
        <f>CashFlow!I8</f>
        <v>45372</v>
      </c>
      <c r="F53" s="868">
        <f>F16</f>
        <v>45372</v>
      </c>
      <c r="G53" s="868">
        <f t="shared" ref="G53:J53" si="13">G16</f>
        <v>56182.766666666663</v>
      </c>
      <c r="H53" s="868">
        <f t="shared" si="13"/>
        <v>55880.306666666671</v>
      </c>
      <c r="I53" s="868">
        <f t="shared" si="13"/>
        <v>57346.126666666671</v>
      </c>
      <c r="J53" s="868">
        <f t="shared" si="13"/>
        <v>57111.863333333335</v>
      </c>
    </row>
    <row r="54" spans="1:10" x14ac:dyDescent="0.25">
      <c r="A54" s="848" t="s">
        <v>633</v>
      </c>
      <c r="B54" s="848"/>
      <c r="C54" s="848"/>
      <c r="D54" s="848"/>
      <c r="E54" s="867">
        <f>CashFlow!I9</f>
        <v>1094</v>
      </c>
      <c r="F54" s="868">
        <f>F18</f>
        <v>1094</v>
      </c>
      <c r="G54" s="868">
        <f t="shared" ref="G54:J54" si="14">G18</f>
        <v>2659.1961129572933</v>
      </c>
      <c r="H54" s="868">
        <f t="shared" si="14"/>
        <v>2195.8570264661685</v>
      </c>
      <c r="I54" s="868">
        <f t="shared" si="14"/>
        <v>2167.552293733067</v>
      </c>
      <c r="J54" s="868">
        <f t="shared" si="14"/>
        <v>2292.5811119559507</v>
      </c>
    </row>
    <row r="55" spans="1:10" x14ac:dyDescent="0.25">
      <c r="A55" s="856" t="s">
        <v>634</v>
      </c>
      <c r="B55" s="848"/>
      <c r="C55" s="848"/>
      <c r="D55" s="848"/>
      <c r="E55" s="867">
        <f>SUM(E56:E58)</f>
        <v>-15856</v>
      </c>
      <c r="F55" s="868">
        <f t="shared" ref="F55:J55" si="15">SUM(F56:F58)</f>
        <v>-37724.130711509031</v>
      </c>
      <c r="G55" s="868">
        <f t="shared" si="15"/>
        <v>8469.0800355879765</v>
      </c>
      <c r="H55" s="868">
        <f t="shared" si="15"/>
        <v>969.5841374854208</v>
      </c>
      <c r="I55" s="868">
        <f t="shared" si="15"/>
        <v>-1637.679649222584</v>
      </c>
      <c r="J55" s="868">
        <f t="shared" si="15"/>
        <v>-2876.1058897914627</v>
      </c>
    </row>
    <row r="56" spans="1:10" x14ac:dyDescent="0.25">
      <c r="A56" s="848" t="s">
        <v>635</v>
      </c>
      <c r="B56" s="848"/>
      <c r="C56" s="848"/>
      <c r="D56" s="848"/>
      <c r="E56" s="867">
        <f>CashFlow!I12</f>
        <v>-16942</v>
      </c>
      <c r="F56" s="868">
        <f>-(Generátory!J79-Generátory!I79)</f>
        <v>-7349.1182658833859</v>
      </c>
      <c r="G56" s="868">
        <f>-(Generátory!K79-Generátory!J79)</f>
        <v>-7256.3403820999083</v>
      </c>
      <c r="H56" s="868">
        <f>-(Generátory!L79-Generátory!K79)</f>
        <v>-8276.8764589909406</v>
      </c>
      <c r="I56" s="868">
        <f>-(Generátory!M79-Generátory!L79)</f>
        <v>-9260.7379078375234</v>
      </c>
      <c r="J56" s="868">
        <f>-(Generátory!N79-Generátory!M79)</f>
        <v>-10319.901066387785</v>
      </c>
    </row>
    <row r="57" spans="1:10" x14ac:dyDescent="0.25">
      <c r="A57" s="848" t="s">
        <v>636</v>
      </c>
      <c r="B57" s="848"/>
      <c r="C57" s="848"/>
      <c r="D57" s="848"/>
      <c r="E57" s="867">
        <f>CashFlow!I13</f>
        <v>5986</v>
      </c>
      <c r="F57" s="868">
        <f>Generátory!J82-Generátory!I82</f>
        <v>7821.3741912685509</v>
      </c>
      <c r="G57" s="868">
        <f>Generátory!K82-Generátory!J82</f>
        <v>35877.691774556326</v>
      </c>
      <c r="H57" s="868">
        <f>Generátory!L82-Generátory!K82</f>
        <v>32222.093740350741</v>
      </c>
      <c r="I57" s="868">
        <f>Generátory!M82-Generátory!L82</f>
        <v>33326.370837818366</v>
      </c>
      <c r="J57" s="868">
        <f>Generátory!N82-Generátory!M82</f>
        <v>36085.516276662762</v>
      </c>
    </row>
    <row r="58" spans="1:10" x14ac:dyDescent="0.25">
      <c r="A58" s="848" t="s">
        <v>608</v>
      </c>
      <c r="B58" s="848"/>
      <c r="C58" s="848"/>
      <c r="D58" s="848"/>
      <c r="E58" s="867">
        <f>CashFlow!I14</f>
        <v>-4900</v>
      </c>
      <c r="F58" s="868">
        <f>-(Generátory!J78-Generátory!I78)</f>
        <v>-38196.386636894196</v>
      </c>
      <c r="G58" s="868">
        <f>-(Generátory!K78-Generátory!J78)</f>
        <v>-20152.271356868441</v>
      </c>
      <c r="H58" s="868">
        <f>-(Generátory!L78-Generátory!K78)</f>
        <v>-22975.63314387438</v>
      </c>
      <c r="I58" s="868">
        <f>-(Generátory!M78-Generátory!L78)</f>
        <v>-25703.312579203426</v>
      </c>
      <c r="J58" s="868">
        <f>-(Generátory!N78-Generátory!M78)</f>
        <v>-28641.721100066439</v>
      </c>
    </row>
    <row r="59" spans="1:10" x14ac:dyDescent="0.25">
      <c r="A59" s="856" t="s">
        <v>637</v>
      </c>
      <c r="B59" s="848"/>
      <c r="C59" s="848"/>
      <c r="D59" s="848"/>
      <c r="E59" s="867">
        <f>E51+E52+E55</f>
        <v>88899.22</v>
      </c>
      <c r="F59" s="868">
        <f t="shared" ref="F59:J59" si="16">F51+F52+F55</f>
        <v>66289.770985217634</v>
      </c>
      <c r="G59" s="868">
        <f t="shared" si="16"/>
        <v>129784.21981600623</v>
      </c>
      <c r="H59" s="868">
        <f t="shared" si="16"/>
        <v>136165.2898069311</v>
      </c>
      <c r="I59" s="868">
        <f t="shared" si="16"/>
        <v>148576.43171384977</v>
      </c>
      <c r="J59" s="868">
        <f t="shared" si="16"/>
        <v>163382.93830394594</v>
      </c>
    </row>
    <row r="60" spans="1:10" x14ac:dyDescent="0.25">
      <c r="A60" s="869" t="s">
        <v>638</v>
      </c>
      <c r="B60" s="870"/>
      <c r="C60" s="870"/>
      <c r="D60" s="870"/>
      <c r="E60" s="867"/>
      <c r="F60" s="868"/>
      <c r="G60" s="868"/>
      <c r="H60" s="868"/>
      <c r="I60" s="868"/>
      <c r="J60" s="868"/>
    </row>
    <row r="61" spans="1:10" x14ac:dyDescent="0.25">
      <c r="A61" s="848" t="s">
        <v>639</v>
      </c>
      <c r="B61" s="848"/>
      <c r="C61" s="848"/>
      <c r="D61" s="848"/>
      <c r="E61" s="867">
        <f>CashFlow!I19</f>
        <v>-79078</v>
      </c>
      <c r="F61" s="868">
        <f>-Generátory!F185</f>
        <v>-83952.6</v>
      </c>
      <c r="G61" s="868">
        <f>-Generátory!G185</f>
        <v>-88326.6</v>
      </c>
      <c r="H61" s="868">
        <f>-Generátory!H185</f>
        <v>-84425.600000000006</v>
      </c>
      <c r="I61" s="868">
        <f>-Generátory!I185</f>
        <v>-100360.6</v>
      </c>
      <c r="J61" s="868">
        <f>-Generátory!J185</f>
        <v>-128089.60000000001</v>
      </c>
    </row>
    <row r="62" spans="1:10" x14ac:dyDescent="0.25">
      <c r="A62" s="856" t="s">
        <v>616</v>
      </c>
      <c r="B62" s="848"/>
      <c r="C62" s="848"/>
      <c r="D62" s="848"/>
      <c r="E62" s="867">
        <f>E61</f>
        <v>-79078</v>
      </c>
      <c r="F62" s="868">
        <f t="shared" ref="F62:J62" si="17">F61</f>
        <v>-83952.6</v>
      </c>
      <c r="G62" s="868">
        <f t="shared" si="17"/>
        <v>-88326.6</v>
      </c>
      <c r="H62" s="868">
        <f t="shared" si="17"/>
        <v>-84425.600000000006</v>
      </c>
      <c r="I62" s="868">
        <f t="shared" si="17"/>
        <v>-100360.6</v>
      </c>
      <c r="J62" s="868">
        <f t="shared" si="17"/>
        <v>-128089.60000000001</v>
      </c>
    </row>
    <row r="63" spans="1:10" x14ac:dyDescent="0.25">
      <c r="A63" s="869" t="s">
        <v>640</v>
      </c>
      <c r="B63" s="870"/>
      <c r="C63" s="870"/>
      <c r="D63" s="870"/>
      <c r="E63" s="871">
        <f>E59+E62</f>
        <v>9821.2200000000012</v>
      </c>
      <c r="F63" s="872">
        <f t="shared" ref="F63:J63" si="18">F59+F62</f>
        <v>-17662.829014782372</v>
      </c>
      <c r="G63" s="872">
        <f t="shared" si="18"/>
        <v>41457.619816006219</v>
      </c>
      <c r="H63" s="872">
        <f t="shared" si="18"/>
        <v>51739.689806931099</v>
      </c>
      <c r="I63" s="872">
        <f t="shared" si="18"/>
        <v>48215.831713849766</v>
      </c>
      <c r="J63" s="872">
        <f t="shared" si="18"/>
        <v>35293.33830394593</v>
      </c>
    </row>
    <row r="65" spans="1:13" x14ac:dyDescent="0.25">
      <c r="A65" s="143" t="s">
        <v>578</v>
      </c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</row>
    <row r="67" spans="1:13" x14ac:dyDescent="0.25">
      <c r="A67" s="829" t="s">
        <v>1516</v>
      </c>
      <c r="B67" s="828"/>
      <c r="C67" s="828"/>
      <c r="D67" s="828"/>
      <c r="E67" s="323">
        <f>Rozvaha!G1</f>
        <v>2016</v>
      </c>
      <c r="F67" s="152">
        <f>E67+1</f>
        <v>2017</v>
      </c>
      <c r="G67" s="153">
        <f>F67+1</f>
        <v>2018</v>
      </c>
      <c r="H67" s="153">
        <f>G67+1</f>
        <v>2019</v>
      </c>
      <c r="I67" s="847">
        <f>H67+1</f>
        <v>2020</v>
      </c>
      <c r="J67" s="153">
        <f>I67+1</f>
        <v>2021</v>
      </c>
    </row>
    <row r="68" spans="1:13" x14ac:dyDescent="0.25">
      <c r="A68" s="848" t="s">
        <v>641</v>
      </c>
      <c r="B68" s="848"/>
      <c r="C68" s="848"/>
      <c r="D68" s="848"/>
      <c r="E68" s="867">
        <f>-E24</f>
        <v>-10536</v>
      </c>
      <c r="F68" s="868">
        <f t="shared" ref="F68:J68" si="19">-F24</f>
        <v>-8746.77</v>
      </c>
      <c r="G68" s="868">
        <f t="shared" si="19"/>
        <v>-8746.77</v>
      </c>
      <c r="H68" s="868">
        <f t="shared" si="19"/>
        <v>-8746.77</v>
      </c>
      <c r="I68" s="868">
        <f t="shared" si="19"/>
        <v>-8746.77</v>
      </c>
      <c r="J68" s="868">
        <f t="shared" si="19"/>
        <v>-8746.77</v>
      </c>
    </row>
    <row r="70" spans="1:13" x14ac:dyDescent="0.25">
      <c r="A70" s="143" t="s">
        <v>642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</row>
    <row r="72" spans="1:13" x14ac:dyDescent="0.25">
      <c r="A72" s="829" t="s">
        <v>1516</v>
      </c>
      <c r="B72" s="828"/>
      <c r="C72" s="828"/>
      <c r="D72" s="828"/>
      <c r="E72" s="323">
        <f>Rozvaha!G1</f>
        <v>2016</v>
      </c>
      <c r="F72" s="152">
        <f>E72+1</f>
        <v>2017</v>
      </c>
      <c r="G72" s="153">
        <f>F72+1</f>
        <v>2018</v>
      </c>
      <c r="H72" s="153">
        <f>G72+1</f>
        <v>2019</v>
      </c>
      <c r="I72" s="847">
        <f>H72+1</f>
        <v>2020</v>
      </c>
      <c r="J72" s="153">
        <f>I72+1</f>
        <v>2021</v>
      </c>
    </row>
    <row r="73" spans="1:13" x14ac:dyDescent="0.25">
      <c r="A73" s="856" t="s">
        <v>643</v>
      </c>
      <c r="B73" s="856"/>
      <c r="C73" s="856"/>
      <c r="D73" s="856"/>
      <c r="E73" s="182">
        <f>SUM(E74:E77)</f>
        <v>4214.7800000000007</v>
      </c>
      <c r="F73" s="183">
        <f t="shared" ref="F73:J73" si="20">SUM(F74:F77)</f>
        <v>1919.5311000000002</v>
      </c>
      <c r="G73" s="183">
        <f t="shared" si="20"/>
        <v>1744.6599249451328</v>
      </c>
      <c r="H73" s="183">
        <f t="shared" si="20"/>
        <v>1800.8233393959833</v>
      </c>
      <c r="I73" s="183">
        <f t="shared" si="20"/>
        <v>1884.8881491386107</v>
      </c>
      <c r="J73" s="183">
        <f t="shared" si="20"/>
        <v>1916.5548960837114</v>
      </c>
    </row>
    <row r="74" spans="1:13" x14ac:dyDescent="0.25">
      <c r="A74" s="848" t="s">
        <v>253</v>
      </c>
      <c r="B74" s="848"/>
      <c r="C74" s="848"/>
      <c r="D74" s="848"/>
      <c r="E74" s="867">
        <f>E29</f>
        <v>64</v>
      </c>
      <c r="F74" s="868">
        <f t="shared" ref="F74:J74" si="21">F29</f>
        <v>64</v>
      </c>
      <c r="G74" s="868">
        <f t="shared" si="21"/>
        <v>64</v>
      </c>
      <c r="H74" s="868">
        <f t="shared" si="21"/>
        <v>64</v>
      </c>
      <c r="I74" s="868">
        <f t="shared" si="21"/>
        <v>64</v>
      </c>
      <c r="J74" s="868">
        <f t="shared" si="21"/>
        <v>64</v>
      </c>
    </row>
    <row r="75" spans="1:13" x14ac:dyDescent="0.25">
      <c r="A75" s="848" t="s">
        <v>579</v>
      </c>
      <c r="B75" s="848"/>
      <c r="C75" s="848"/>
      <c r="D75" s="848"/>
      <c r="E75" s="867">
        <f>E30</f>
        <v>215</v>
      </c>
      <c r="F75" s="868">
        <f t="shared" ref="F75:J75" si="22">F30</f>
        <v>254.08</v>
      </c>
      <c r="G75" s="868">
        <f t="shared" si="22"/>
        <v>38.18966042608816</v>
      </c>
      <c r="H75" s="868">
        <f t="shared" si="22"/>
        <v>107.52720913084494</v>
      </c>
      <c r="I75" s="868">
        <f t="shared" si="22"/>
        <v>211.31092486248031</v>
      </c>
      <c r="J75" s="868">
        <f t="shared" si="22"/>
        <v>250.40567417742218</v>
      </c>
    </row>
    <row r="76" spans="1:13" x14ac:dyDescent="0.25">
      <c r="A76" s="848" t="s">
        <v>981</v>
      </c>
      <c r="B76" s="848"/>
      <c r="C76" s="848"/>
      <c r="D76" s="848"/>
      <c r="E76" s="867">
        <f>-(E38-E50)</f>
        <v>1482.7800000000007</v>
      </c>
      <c r="F76" s="868">
        <f t="shared" ref="F76:J76" si="23">-(F38-F50)</f>
        <v>1601.4511000000002</v>
      </c>
      <c r="G76" s="868">
        <f t="shared" si="23"/>
        <v>1642.4702645190446</v>
      </c>
      <c r="H76" s="868">
        <f>-(H38-H50)</f>
        <v>1629.2961302651383</v>
      </c>
      <c r="I76" s="868">
        <f t="shared" si="23"/>
        <v>1609.5772242761304</v>
      </c>
      <c r="J76" s="868">
        <f t="shared" si="23"/>
        <v>1602.1492219062893</v>
      </c>
    </row>
    <row r="77" spans="1:13" x14ac:dyDescent="0.25">
      <c r="A77" s="848" t="s">
        <v>644</v>
      </c>
      <c r="B77" s="848"/>
      <c r="C77" s="848"/>
      <c r="D77" s="848"/>
      <c r="E77" s="867">
        <f>E31</f>
        <v>2453</v>
      </c>
      <c r="F77" s="868">
        <f t="shared" ref="F77:J77" si="24">F31</f>
        <v>0</v>
      </c>
      <c r="G77" s="868">
        <f t="shared" si="24"/>
        <v>0</v>
      </c>
      <c r="H77" s="868">
        <f t="shared" si="24"/>
        <v>0</v>
      </c>
      <c r="I77" s="868">
        <f t="shared" si="24"/>
        <v>0</v>
      </c>
      <c r="J77" s="868">
        <f t="shared" si="24"/>
        <v>0</v>
      </c>
    </row>
    <row r="78" spans="1:13" x14ac:dyDescent="0.25">
      <c r="A78" s="856" t="s">
        <v>645</v>
      </c>
      <c r="B78" s="856"/>
      <c r="C78" s="856"/>
      <c r="D78" s="856"/>
      <c r="E78" s="182">
        <f>E79</f>
        <v>0</v>
      </c>
      <c r="F78" s="183">
        <f t="shared" ref="F78:J78" si="25">F79</f>
        <v>0</v>
      </c>
      <c r="G78" s="183">
        <f t="shared" si="25"/>
        <v>0</v>
      </c>
      <c r="H78" s="183">
        <f t="shared" si="25"/>
        <v>0</v>
      </c>
      <c r="I78" s="183">
        <f t="shared" si="25"/>
        <v>0</v>
      </c>
      <c r="J78" s="183">
        <f t="shared" si="25"/>
        <v>0</v>
      </c>
    </row>
    <row r="79" spans="1:13" x14ac:dyDescent="0.25">
      <c r="A79" s="848" t="s">
        <v>646</v>
      </c>
      <c r="B79" s="848"/>
      <c r="C79" s="848"/>
      <c r="D79" s="848"/>
      <c r="E79" s="867">
        <v>0</v>
      </c>
      <c r="F79" s="868">
        <v>0</v>
      </c>
      <c r="G79" s="868">
        <v>0</v>
      </c>
      <c r="H79" s="868">
        <v>0</v>
      </c>
      <c r="I79" s="868">
        <v>0</v>
      </c>
      <c r="J79" s="868">
        <v>0</v>
      </c>
    </row>
    <row r="80" spans="1:13" x14ac:dyDescent="0.25">
      <c r="A80" s="856" t="s">
        <v>647</v>
      </c>
      <c r="B80" s="856"/>
      <c r="C80" s="856"/>
      <c r="D80" s="856"/>
      <c r="E80" s="182">
        <f>E81</f>
        <v>768</v>
      </c>
      <c r="F80" s="183">
        <f t="shared" ref="F80:J80" si="26">F81</f>
        <v>1600</v>
      </c>
      <c r="G80" s="183">
        <f t="shared" si="26"/>
        <v>1600</v>
      </c>
      <c r="H80" s="183">
        <f t="shared" si="26"/>
        <v>4032</v>
      </c>
      <c r="I80" s="183">
        <f t="shared" si="26"/>
        <v>0</v>
      </c>
      <c r="J80" s="183">
        <f t="shared" si="26"/>
        <v>0</v>
      </c>
    </row>
    <row r="81" spans="1:13" x14ac:dyDescent="0.25">
      <c r="A81" s="848" t="s">
        <v>648</v>
      </c>
      <c r="B81" s="848"/>
      <c r="C81" s="848"/>
      <c r="D81" s="848"/>
      <c r="E81" s="867">
        <f>-(Rozvaha!G29-Rozvaha!F29)</f>
        <v>768</v>
      </c>
      <c r="F81" s="868">
        <f>-(F116-E116)</f>
        <v>1600</v>
      </c>
      <c r="G81" s="868">
        <f t="shared" ref="G81:J81" si="27">-(G116-F116)</f>
        <v>1600</v>
      </c>
      <c r="H81" s="868">
        <f t="shared" si="27"/>
        <v>4032</v>
      </c>
      <c r="I81" s="868">
        <f t="shared" si="27"/>
        <v>0</v>
      </c>
      <c r="J81" s="868">
        <f t="shared" si="27"/>
        <v>0</v>
      </c>
    </row>
    <row r="82" spans="1:13" x14ac:dyDescent="0.25">
      <c r="A82" s="869" t="s">
        <v>649</v>
      </c>
      <c r="B82" s="869"/>
      <c r="C82" s="869"/>
      <c r="D82" s="869"/>
      <c r="E82" s="211">
        <f>E73+E78+E80</f>
        <v>4982.7800000000007</v>
      </c>
      <c r="F82" s="210">
        <f t="shared" ref="F82:J82" si="28">F73+F78+F80</f>
        <v>3519.5311000000002</v>
      </c>
      <c r="G82" s="210">
        <f t="shared" si="28"/>
        <v>3344.6599249451328</v>
      </c>
      <c r="H82" s="210">
        <f t="shared" si="28"/>
        <v>5832.8233393959836</v>
      </c>
      <c r="I82" s="210">
        <f t="shared" si="28"/>
        <v>1884.8881491386107</v>
      </c>
      <c r="J82" s="210">
        <f t="shared" si="28"/>
        <v>1916.5548960837114</v>
      </c>
    </row>
    <row r="84" spans="1:13" x14ac:dyDescent="0.25">
      <c r="A84" s="143" t="s">
        <v>650</v>
      </c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</row>
    <row r="86" spans="1:13" x14ac:dyDescent="0.25">
      <c r="A86" s="829" t="s">
        <v>1516</v>
      </c>
      <c r="B86" s="828"/>
      <c r="C86" s="828"/>
      <c r="D86" s="828"/>
      <c r="E86" s="323">
        <f>Rozvaha!G1</f>
        <v>2016</v>
      </c>
      <c r="F86" s="152">
        <f>E86+1</f>
        <v>2017</v>
      </c>
      <c r="G86" s="153">
        <f>F86+1</f>
        <v>2018</v>
      </c>
      <c r="H86" s="153">
        <f>G86+1</f>
        <v>2019</v>
      </c>
      <c r="I86" s="847">
        <f>H86+1</f>
        <v>2020</v>
      </c>
      <c r="J86" s="153">
        <f>I86+1</f>
        <v>2021</v>
      </c>
    </row>
    <row r="87" spans="1:13" x14ac:dyDescent="0.25">
      <c r="A87" s="856" t="s">
        <v>618</v>
      </c>
      <c r="B87" s="848"/>
      <c r="C87" s="848"/>
      <c r="D87" s="848"/>
      <c r="E87" s="182">
        <f>SUM(E88:E90)</f>
        <v>19490</v>
      </c>
      <c r="F87" s="183">
        <f t="shared" ref="F87:J87" si="29">SUM(F88:F90)</f>
        <v>0</v>
      </c>
      <c r="G87" s="183">
        <f t="shared" si="29"/>
        <v>0</v>
      </c>
      <c r="H87" s="183">
        <f t="shared" si="29"/>
        <v>0</v>
      </c>
      <c r="I87" s="183">
        <f t="shared" si="29"/>
        <v>0</v>
      </c>
      <c r="J87" s="183">
        <f t="shared" si="29"/>
        <v>0</v>
      </c>
    </row>
    <row r="88" spans="1:13" x14ac:dyDescent="0.25">
      <c r="A88" s="848" t="s">
        <v>651</v>
      </c>
      <c r="B88" s="848"/>
      <c r="C88" s="848"/>
      <c r="D88" s="848"/>
      <c r="E88" s="867">
        <f>CashFlow!I25</f>
        <v>24960</v>
      </c>
      <c r="F88" s="887">
        <v>0</v>
      </c>
      <c r="G88" s="887">
        <v>0</v>
      </c>
      <c r="H88" s="887">
        <v>0</v>
      </c>
      <c r="I88" s="887">
        <v>0</v>
      </c>
      <c r="J88" s="887">
        <v>0</v>
      </c>
    </row>
    <row r="89" spans="1:13" x14ac:dyDescent="0.25">
      <c r="A89" s="848" t="s">
        <v>652</v>
      </c>
      <c r="B89" s="848"/>
      <c r="C89" s="848"/>
      <c r="D89" s="848"/>
      <c r="E89" s="867">
        <f>CashFlow!I26</f>
        <v>2490</v>
      </c>
      <c r="F89" s="887">
        <v>0</v>
      </c>
      <c r="G89" s="887">
        <v>0</v>
      </c>
      <c r="H89" s="887">
        <v>0</v>
      </c>
      <c r="I89" s="887">
        <v>0</v>
      </c>
      <c r="J89" s="887">
        <v>0</v>
      </c>
    </row>
    <row r="90" spans="1:13" x14ac:dyDescent="0.25">
      <c r="A90" s="848" t="s">
        <v>621</v>
      </c>
      <c r="B90" s="848"/>
      <c r="C90" s="848"/>
      <c r="D90" s="848"/>
      <c r="E90" s="867">
        <f>CashFlow!I27</f>
        <v>-7960</v>
      </c>
      <c r="F90" s="887">
        <v>0</v>
      </c>
      <c r="G90" s="887">
        <v>0</v>
      </c>
      <c r="H90" s="887">
        <v>0</v>
      </c>
      <c r="I90" s="887">
        <v>0</v>
      </c>
      <c r="J90" s="887">
        <v>0</v>
      </c>
    </row>
    <row r="91" spans="1:13" x14ac:dyDescent="0.25">
      <c r="A91" s="856" t="s">
        <v>622</v>
      </c>
      <c r="B91" s="848"/>
      <c r="C91" s="848"/>
      <c r="D91" s="848"/>
      <c r="E91" s="182">
        <f>SUM(E92:E93)</f>
        <v>-16000</v>
      </c>
      <c r="F91" s="183">
        <f t="shared" ref="F91:J91" si="30">SUM(F92:F93)</f>
        <v>-20288</v>
      </c>
      <c r="G91" s="183">
        <f t="shared" si="30"/>
        <v>-22188</v>
      </c>
      <c r="H91" s="183">
        <f t="shared" si="30"/>
        <v>-28069</v>
      </c>
      <c r="I91" s="183">
        <f t="shared" si="30"/>
        <v>-33535</v>
      </c>
      <c r="J91" s="183">
        <f t="shared" si="30"/>
        <v>-40010</v>
      </c>
    </row>
    <row r="92" spans="1:13" x14ac:dyDescent="0.25">
      <c r="A92" s="848" t="s">
        <v>653</v>
      </c>
      <c r="B92" s="848"/>
      <c r="C92" s="848"/>
      <c r="D92" s="848"/>
      <c r="E92" s="867">
        <f>CashFlow!I29</f>
        <v>0</v>
      </c>
      <c r="F92" s="868">
        <v>0</v>
      </c>
      <c r="G92" s="868">
        <v>0</v>
      </c>
      <c r="H92" s="868">
        <v>0</v>
      </c>
      <c r="I92" s="868">
        <v>0</v>
      </c>
      <c r="J92" s="868">
        <v>0</v>
      </c>
    </row>
    <row r="93" spans="1:13" x14ac:dyDescent="0.25">
      <c r="A93" s="848" t="s">
        <v>624</v>
      </c>
      <c r="B93" s="848"/>
      <c r="C93" s="848"/>
      <c r="D93" s="848"/>
      <c r="E93" s="867">
        <f>CashFlow!I30</f>
        <v>-16000</v>
      </c>
      <c r="F93" s="868">
        <f>-ROUND(F39*0.4,0)</f>
        <v>-20288</v>
      </c>
      <c r="G93" s="868">
        <f t="shared" ref="G93:J93" si="31">-ROUND(G39*0.4,0)</f>
        <v>-22188</v>
      </c>
      <c r="H93" s="868">
        <f t="shared" si="31"/>
        <v>-28069</v>
      </c>
      <c r="I93" s="868">
        <f t="shared" si="31"/>
        <v>-33535</v>
      </c>
      <c r="J93" s="868">
        <f t="shared" si="31"/>
        <v>-40010</v>
      </c>
    </row>
    <row r="94" spans="1:13" x14ac:dyDescent="0.25">
      <c r="A94" s="869" t="s">
        <v>654</v>
      </c>
      <c r="B94" s="870"/>
      <c r="C94" s="870"/>
      <c r="D94" s="870"/>
      <c r="E94" s="211">
        <f>E87+E91</f>
        <v>3490</v>
      </c>
      <c r="F94" s="210">
        <f t="shared" ref="F94:I94" si="32">F87+F91</f>
        <v>-20288</v>
      </c>
      <c r="G94" s="210">
        <f t="shared" si="32"/>
        <v>-22188</v>
      </c>
      <c r="H94" s="210">
        <f t="shared" si="32"/>
        <v>-28069</v>
      </c>
      <c r="I94" s="210">
        <f t="shared" si="32"/>
        <v>-33535</v>
      </c>
      <c r="J94" s="210">
        <f>J87+J91</f>
        <v>-40010</v>
      </c>
    </row>
    <row r="96" spans="1:13" x14ac:dyDescent="0.25">
      <c r="A96" s="143" t="s">
        <v>655</v>
      </c>
      <c r="B96" s="143"/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</row>
    <row r="98" spans="1:13" x14ac:dyDescent="0.25">
      <c r="A98" s="829" t="s">
        <v>1516</v>
      </c>
      <c r="B98" s="828"/>
      <c r="C98" s="828"/>
      <c r="D98" s="828"/>
      <c r="E98" s="323">
        <f>Rozvaha!G1</f>
        <v>2016</v>
      </c>
      <c r="F98" s="152">
        <f>E98+1</f>
        <v>2017</v>
      </c>
      <c r="G98" s="153">
        <f>F98+1</f>
        <v>2018</v>
      </c>
      <c r="H98" s="153">
        <f>G98+1</f>
        <v>2019</v>
      </c>
      <c r="I98" s="847">
        <f>H98+1</f>
        <v>2020</v>
      </c>
      <c r="J98" s="153">
        <f>I98+1</f>
        <v>2021</v>
      </c>
    </row>
    <row r="99" spans="1:13" x14ac:dyDescent="0.25">
      <c r="A99" s="856" t="s">
        <v>626</v>
      </c>
      <c r="B99" s="856"/>
      <c r="C99" s="856"/>
      <c r="D99" s="856"/>
      <c r="E99" s="867">
        <f>E63+E68+E82+E94</f>
        <v>7758.0000000000018</v>
      </c>
      <c r="F99" s="868">
        <f t="shared" ref="F99:J99" si="33">F63+F68+F82+F94</f>
        <v>-43178.067914782368</v>
      </c>
      <c r="G99" s="868">
        <f t="shared" si="33"/>
        <v>13867.509740951355</v>
      </c>
      <c r="H99" s="868">
        <f t="shared" si="33"/>
        <v>20756.743146327077</v>
      </c>
      <c r="I99" s="868">
        <f t="shared" si="33"/>
        <v>7818.9498629883747</v>
      </c>
      <c r="J99" s="868">
        <f t="shared" si="33"/>
        <v>-11546.87679997036</v>
      </c>
    </row>
    <row r="100" spans="1:13" x14ac:dyDescent="0.25">
      <c r="A100" s="848" t="s">
        <v>627</v>
      </c>
      <c r="B100" s="848"/>
      <c r="C100" s="848"/>
      <c r="D100" s="848"/>
      <c r="E100" s="867">
        <f>E45+E99</f>
        <v>50816</v>
      </c>
      <c r="F100" s="868">
        <f t="shared" ref="F100:J100" si="34">F45+F99</f>
        <v>7637.9320852176315</v>
      </c>
      <c r="G100" s="868">
        <f t="shared" si="34"/>
        <v>21505.441826168986</v>
      </c>
      <c r="H100" s="868">
        <f t="shared" si="34"/>
        <v>42262.184972496063</v>
      </c>
      <c r="I100" s="868">
        <f t="shared" si="34"/>
        <v>50081.134835484438</v>
      </c>
      <c r="J100" s="868">
        <f t="shared" si="34"/>
        <v>38534.258035514082</v>
      </c>
    </row>
    <row r="103" spans="1:13" x14ac:dyDescent="0.25">
      <c r="A103" s="830" t="s">
        <v>656</v>
      </c>
      <c r="B103" s="830"/>
      <c r="C103" s="830"/>
      <c r="D103" s="830"/>
      <c r="E103" s="830"/>
      <c r="F103" s="830"/>
      <c r="G103" s="830"/>
      <c r="H103" s="830"/>
      <c r="I103" s="830"/>
      <c r="J103" s="830"/>
      <c r="K103" s="179"/>
      <c r="L103" s="179"/>
      <c r="M103" s="179"/>
    </row>
    <row r="105" spans="1:13" x14ac:dyDescent="0.25">
      <c r="A105" s="829" t="s">
        <v>1516</v>
      </c>
      <c r="B105" s="828"/>
      <c r="C105" s="828"/>
      <c r="D105" s="828"/>
      <c r="E105" s="323">
        <f>Rozvaha!G1</f>
        <v>2016</v>
      </c>
      <c r="F105" s="152">
        <f>E105+1</f>
        <v>2017</v>
      </c>
      <c r="G105" s="153">
        <f>F105+1</f>
        <v>2018</v>
      </c>
      <c r="H105" s="153">
        <f>G105+1</f>
        <v>2019</v>
      </c>
      <c r="I105" s="847">
        <f>H105+1</f>
        <v>2020</v>
      </c>
      <c r="J105" s="153">
        <f>I105+1</f>
        <v>2021</v>
      </c>
    </row>
    <row r="106" spans="1:13" x14ac:dyDescent="0.25">
      <c r="A106" s="8" t="s">
        <v>0</v>
      </c>
      <c r="B106" s="522"/>
      <c r="C106" s="522"/>
      <c r="D106" s="522"/>
      <c r="E106" s="873">
        <f>Rozvaha!G2</f>
        <v>730790</v>
      </c>
      <c r="F106" s="874">
        <f>F107+F117+F126</f>
        <v>770138.03698799526</v>
      </c>
      <c r="G106" s="874">
        <f t="shared" ref="G106:J106" si="35">G107+G117+G126</f>
        <v>841957.99180124816</v>
      </c>
      <c r="H106" s="874">
        <f t="shared" si="35"/>
        <v>918480.53788377391</v>
      </c>
      <c r="I106" s="874">
        <f t="shared" si="35"/>
        <v>1004278.0115671365</v>
      </c>
      <c r="J106" s="874">
        <f t="shared" si="35"/>
        <v>1102670.4936002872</v>
      </c>
    </row>
    <row r="107" spans="1:13" x14ac:dyDescent="0.25">
      <c r="A107" s="113" t="s">
        <v>2</v>
      </c>
      <c r="B107" s="107"/>
      <c r="C107" s="107"/>
      <c r="D107" s="107"/>
      <c r="E107" s="871">
        <f>Rozvaha!G4</f>
        <v>460694</v>
      </c>
      <c r="F107" s="872">
        <f>F108+F110+F114</f>
        <v>497674.6</v>
      </c>
      <c r="G107" s="872">
        <f t="shared" ref="G107:J107" si="36">G108+G110+G114</f>
        <v>528218.43333333335</v>
      </c>
      <c r="H107" s="872">
        <f t="shared" si="36"/>
        <v>552731.72666666668</v>
      </c>
      <c r="I107" s="872">
        <f t="shared" si="36"/>
        <v>595746.19999999995</v>
      </c>
      <c r="J107" s="872">
        <f t="shared" si="36"/>
        <v>666723.93666666665</v>
      </c>
    </row>
    <row r="108" spans="1:13" x14ac:dyDescent="0.25">
      <c r="A108" s="60" t="s">
        <v>3</v>
      </c>
      <c r="B108" s="69"/>
      <c r="C108" s="69"/>
      <c r="D108" s="69"/>
      <c r="E108" s="875">
        <f>Rozvaha!G5</f>
        <v>2164</v>
      </c>
      <c r="F108" s="213">
        <f>F109</f>
        <v>4535</v>
      </c>
      <c r="G108" s="213">
        <f t="shared" ref="G108:J108" si="37">G109</f>
        <v>6535</v>
      </c>
      <c r="H108" s="213">
        <f t="shared" si="37"/>
        <v>7535</v>
      </c>
      <c r="I108" s="213">
        <f t="shared" si="37"/>
        <v>9250.5</v>
      </c>
      <c r="J108" s="213">
        <f t="shared" si="37"/>
        <v>13699.25</v>
      </c>
    </row>
    <row r="109" spans="1:13" x14ac:dyDescent="0.25">
      <c r="A109" s="90" t="s">
        <v>17</v>
      </c>
      <c r="B109" s="90"/>
      <c r="C109" s="90"/>
      <c r="D109" s="90"/>
      <c r="E109" s="867">
        <f>Rozvaha!G8</f>
        <v>2164</v>
      </c>
      <c r="F109" s="868">
        <f>Generátory!F160</f>
        <v>4535</v>
      </c>
      <c r="G109" s="868">
        <f>Generátory!G160</f>
        <v>6535</v>
      </c>
      <c r="H109" s="868">
        <f>Generátory!H160</f>
        <v>7535</v>
      </c>
      <c r="I109" s="868">
        <f>Generátory!I160</f>
        <v>9250.5</v>
      </c>
      <c r="J109" s="868">
        <f>Generátory!J160</f>
        <v>13699.25</v>
      </c>
    </row>
    <row r="110" spans="1:13" x14ac:dyDescent="0.25">
      <c r="A110" s="60" t="s">
        <v>23</v>
      </c>
      <c r="B110" s="69"/>
      <c r="C110" s="69"/>
      <c r="D110" s="69"/>
      <c r="E110" s="875">
        <f>Rozvaha!G14</f>
        <v>450024</v>
      </c>
      <c r="F110" s="213">
        <f>SUM(F111:F113)</f>
        <v>486233.59999999998</v>
      </c>
      <c r="G110" s="213">
        <f t="shared" ref="G110:J110" si="38">SUM(G111:G113)</f>
        <v>516377.43333333335</v>
      </c>
      <c r="H110" s="213">
        <f t="shared" si="38"/>
        <v>543922.72666666668</v>
      </c>
      <c r="I110" s="213">
        <f t="shared" si="38"/>
        <v>585221.69999999995</v>
      </c>
      <c r="J110" s="213">
        <f t="shared" si="38"/>
        <v>651750.68666666665</v>
      </c>
    </row>
    <row r="111" spans="1:13" x14ac:dyDescent="0.25">
      <c r="A111" s="90" t="s">
        <v>34</v>
      </c>
      <c r="B111" s="90"/>
      <c r="C111" s="90"/>
      <c r="D111" s="90"/>
      <c r="E111" s="867">
        <f>Rozvaha!G15</f>
        <v>14524</v>
      </c>
      <c r="F111" s="868">
        <f>Generátory!F180</f>
        <v>14524</v>
      </c>
      <c r="G111" s="868">
        <f>Generátory!G180</f>
        <v>14524</v>
      </c>
      <c r="H111" s="868">
        <f>Generátory!H180</f>
        <v>14524</v>
      </c>
      <c r="I111" s="868">
        <f>Generátory!I180</f>
        <v>14524</v>
      </c>
      <c r="J111" s="868">
        <f>Generátory!J180</f>
        <v>14524</v>
      </c>
    </row>
    <row r="112" spans="1:13" x14ac:dyDescent="0.25">
      <c r="A112" s="90" t="s">
        <v>35</v>
      </c>
      <c r="B112" s="90"/>
      <c r="C112" s="90"/>
      <c r="D112" s="90"/>
      <c r="E112" s="867">
        <f>Rozvaha!G16</f>
        <v>351000</v>
      </c>
      <c r="F112" s="868">
        <f>Generátory!F169</f>
        <v>372209.6</v>
      </c>
      <c r="G112" s="868">
        <f>Generátory!G169</f>
        <v>387134.26666666666</v>
      </c>
      <c r="H112" s="868">
        <f>Generátory!H169</f>
        <v>405829.89333333331</v>
      </c>
      <c r="I112" s="868">
        <f>Generátory!I169</f>
        <v>423268.53333333333</v>
      </c>
      <c r="J112" s="868">
        <f>Generátory!J169</f>
        <v>439450.18666666665</v>
      </c>
    </row>
    <row r="113" spans="1:10" x14ac:dyDescent="0.25">
      <c r="A113" s="90" t="s">
        <v>36</v>
      </c>
      <c r="B113" s="90"/>
      <c r="C113" s="90"/>
      <c r="D113" s="90"/>
      <c r="E113" s="867">
        <f>Rozvaha!G17</f>
        <v>84500</v>
      </c>
      <c r="F113" s="868">
        <f>Generátory!F178</f>
        <v>99500</v>
      </c>
      <c r="G113" s="868">
        <f>Generátory!G178</f>
        <v>114719.16666666667</v>
      </c>
      <c r="H113" s="868">
        <f>Generátory!H178</f>
        <v>123568.83333333334</v>
      </c>
      <c r="I113" s="868">
        <f>Generátory!I178</f>
        <v>147429.16666666669</v>
      </c>
      <c r="J113" s="868">
        <f>Generátory!J178</f>
        <v>197776.5</v>
      </c>
    </row>
    <row r="114" spans="1:10" x14ac:dyDescent="0.25">
      <c r="A114" s="60" t="s">
        <v>43</v>
      </c>
      <c r="B114" s="69"/>
      <c r="C114" s="69"/>
      <c r="D114" s="69"/>
      <c r="E114" s="875">
        <f>Rozvaha!G24</f>
        <v>8506</v>
      </c>
      <c r="F114" s="213">
        <f>SUM(F115:F116)</f>
        <v>6906</v>
      </c>
      <c r="G114" s="213">
        <f t="shared" ref="G114:J114" si="39">SUM(G115:G116)</f>
        <v>5306</v>
      </c>
      <c r="H114" s="213">
        <f t="shared" si="39"/>
        <v>1274</v>
      </c>
      <c r="I114" s="213">
        <f t="shared" si="39"/>
        <v>1274</v>
      </c>
      <c r="J114" s="213">
        <f t="shared" si="39"/>
        <v>1274</v>
      </c>
    </row>
    <row r="115" spans="1:10" x14ac:dyDescent="0.25">
      <c r="A115" s="90" t="s">
        <v>49</v>
      </c>
      <c r="B115" s="90"/>
      <c r="C115" s="90"/>
      <c r="D115" s="90"/>
      <c r="E115" s="867">
        <f>Rozvaha!G27</f>
        <v>1274</v>
      </c>
      <c r="F115" s="868">
        <f>E115</f>
        <v>1274</v>
      </c>
      <c r="G115" s="868">
        <f t="shared" ref="G115:J115" si="40">F115</f>
        <v>1274</v>
      </c>
      <c r="H115" s="868">
        <f t="shared" si="40"/>
        <v>1274</v>
      </c>
      <c r="I115" s="868">
        <f t="shared" si="40"/>
        <v>1274</v>
      </c>
      <c r="J115" s="868">
        <f t="shared" si="40"/>
        <v>1274</v>
      </c>
    </row>
    <row r="116" spans="1:10" x14ac:dyDescent="0.25">
      <c r="A116" s="90" t="s">
        <v>53</v>
      </c>
      <c r="B116" s="90"/>
      <c r="C116" s="90"/>
      <c r="D116" s="90"/>
      <c r="E116" s="867">
        <f>Rozvaha!G29</f>
        <v>7232</v>
      </c>
      <c r="F116" s="868">
        <f>E116-SUM(Pohledávky!D7:D10)</f>
        <v>5632</v>
      </c>
      <c r="G116" s="868">
        <f>F116-SUM(Pohledávky!D11:D14)</f>
        <v>4032</v>
      </c>
      <c r="H116" s="868">
        <f>G116-Pohledávky!D20</f>
        <v>0</v>
      </c>
      <c r="I116" s="868">
        <f>H116</f>
        <v>0</v>
      </c>
      <c r="J116" s="868">
        <f>I116</f>
        <v>0</v>
      </c>
    </row>
    <row r="117" spans="1:10" x14ac:dyDescent="0.25">
      <c r="A117" s="113" t="s">
        <v>59</v>
      </c>
      <c r="B117" s="107"/>
      <c r="C117" s="107"/>
      <c r="D117" s="107"/>
      <c r="E117" s="871">
        <f>Rozvaha!G32</f>
        <v>256210</v>
      </c>
      <c r="F117" s="872">
        <f>F118+F121+F123</f>
        <v>258577.43698799523</v>
      </c>
      <c r="G117" s="872">
        <f t="shared" ref="G117:J117" si="41">G118+G121+G123</f>
        <v>299853.55846791487</v>
      </c>
      <c r="H117" s="872">
        <f t="shared" si="41"/>
        <v>351862.81121710729</v>
      </c>
      <c r="I117" s="872">
        <f t="shared" si="41"/>
        <v>394645.81156713661</v>
      </c>
      <c r="J117" s="872">
        <f t="shared" si="41"/>
        <v>422060.55693362054</v>
      </c>
    </row>
    <row r="118" spans="1:10" x14ac:dyDescent="0.25">
      <c r="A118" s="60" t="s">
        <v>61</v>
      </c>
      <c r="B118" s="69"/>
      <c r="C118" s="69"/>
      <c r="D118" s="69"/>
      <c r="E118" s="875">
        <f>Rozvaha!G33</f>
        <v>146268</v>
      </c>
      <c r="F118" s="213">
        <f>SUM(F119:F120)</f>
        <v>184464.3866368942</v>
      </c>
      <c r="G118" s="213">
        <f t="shared" ref="G118:J118" si="42">SUM(G119:G120)</f>
        <v>204616.65799376264</v>
      </c>
      <c r="H118" s="213">
        <f t="shared" si="42"/>
        <v>227592.29113763702</v>
      </c>
      <c r="I118" s="213">
        <f t="shared" si="42"/>
        <v>253295.60371684041</v>
      </c>
      <c r="J118" s="213">
        <f t="shared" si="42"/>
        <v>281937.32481690688</v>
      </c>
    </row>
    <row r="119" spans="1:10" x14ac:dyDescent="0.25">
      <c r="A119" s="90" t="s">
        <v>63</v>
      </c>
      <c r="B119" s="90"/>
      <c r="C119" s="90"/>
      <c r="D119" s="90"/>
      <c r="E119" s="867">
        <f>Rozvaha!G34</f>
        <v>1990</v>
      </c>
      <c r="F119" s="868">
        <f>Generátory!J59*Generátory!J6/365</f>
        <v>3077.998684764787</v>
      </c>
      <c r="G119" s="868">
        <f>Generátory!K59*Generátory!K6/365</f>
        <v>3281.200745272808</v>
      </c>
      <c r="H119" s="868">
        <f>Generátory!L59*Generátory!L6/365</f>
        <v>3601.1173903605422</v>
      </c>
      <c r="I119" s="868">
        <f>Generátory!M59*Generátory!M6/365</f>
        <v>3986.6726642966091</v>
      </c>
      <c r="J119" s="868">
        <f>Generátory!N59*Generátory!N6/365</f>
        <v>4426.9844360666475</v>
      </c>
    </row>
    <row r="120" spans="1:10" x14ac:dyDescent="0.25">
      <c r="A120" s="90" t="s">
        <v>71</v>
      </c>
      <c r="B120" s="90"/>
      <c r="C120" s="90"/>
      <c r="D120" s="90"/>
      <c r="E120" s="867">
        <f>Rozvaha!G38</f>
        <v>144278</v>
      </c>
      <c r="F120" s="868">
        <f>Generátory!J60*Generátory!J6/365</f>
        <v>181386.38795212941</v>
      </c>
      <c r="G120" s="868">
        <f>Generátory!K60*Generátory!K6/365</f>
        <v>201335.45724848984</v>
      </c>
      <c r="H120" s="868">
        <f>Generátory!L60*Generátory!L6/365</f>
        <v>223991.17374727648</v>
      </c>
      <c r="I120" s="868">
        <f>Generátory!M60*Generátory!M6/365</f>
        <v>249308.9310525438</v>
      </c>
      <c r="J120" s="868">
        <f>Generátory!N60*Generátory!N6/365</f>
        <v>277510.34038084024</v>
      </c>
    </row>
    <row r="121" spans="1:10" x14ac:dyDescent="0.25">
      <c r="A121" s="60" t="s">
        <v>91</v>
      </c>
      <c r="B121" s="69"/>
      <c r="C121" s="69"/>
      <c r="D121" s="69"/>
      <c r="E121" s="875">
        <f>Rozvaha!G40</f>
        <v>59126</v>
      </c>
      <c r="F121" s="213">
        <f>F122</f>
        <v>66475.118265883386</v>
      </c>
      <c r="G121" s="213">
        <f t="shared" ref="G121:J121" si="43">G122</f>
        <v>73731.458647983294</v>
      </c>
      <c r="H121" s="213">
        <f t="shared" si="43"/>
        <v>82008.335106974235</v>
      </c>
      <c r="I121" s="213">
        <f t="shared" si="43"/>
        <v>91269.073014811758</v>
      </c>
      <c r="J121" s="213">
        <f t="shared" si="43"/>
        <v>101588.97408119954</v>
      </c>
    </row>
    <row r="122" spans="1:10" x14ac:dyDescent="0.25">
      <c r="A122" s="90" t="s">
        <v>77</v>
      </c>
      <c r="B122" s="90"/>
      <c r="C122" s="90"/>
      <c r="D122" s="90"/>
      <c r="E122" s="867">
        <f>Rozvaha!G41</f>
        <v>59126</v>
      </c>
      <c r="F122" s="868">
        <f>Generátory!J79</f>
        <v>66475.118265883386</v>
      </c>
      <c r="G122" s="868">
        <f>Generátory!K79</f>
        <v>73731.458647983294</v>
      </c>
      <c r="H122" s="868">
        <f>Generátory!L79</f>
        <v>82008.335106974235</v>
      </c>
      <c r="I122" s="868">
        <f>Generátory!M79</f>
        <v>91269.073014811758</v>
      </c>
      <c r="J122" s="868">
        <f>Generátory!N79</f>
        <v>101588.97408119954</v>
      </c>
    </row>
    <row r="123" spans="1:10" x14ac:dyDescent="0.25">
      <c r="A123" s="60" t="s">
        <v>105</v>
      </c>
      <c r="B123" s="69"/>
      <c r="C123" s="69"/>
      <c r="D123" s="69"/>
      <c r="E123" s="875">
        <f>E100</f>
        <v>50816</v>
      </c>
      <c r="F123" s="213">
        <f t="shared" ref="F123:J123" si="44">F100</f>
        <v>7637.9320852176315</v>
      </c>
      <c r="G123" s="213">
        <f t="shared" si="44"/>
        <v>21505.441826168986</v>
      </c>
      <c r="H123" s="213">
        <f t="shared" si="44"/>
        <v>42262.184972496063</v>
      </c>
      <c r="I123" s="213">
        <f t="shared" si="44"/>
        <v>50081.134835484438</v>
      </c>
      <c r="J123" s="213">
        <f t="shared" si="44"/>
        <v>38534.258035514082</v>
      </c>
    </row>
    <row r="124" spans="1:10" x14ac:dyDescent="0.25">
      <c r="A124" s="90" t="s">
        <v>678</v>
      </c>
      <c r="B124" s="90"/>
      <c r="C124" s="90"/>
      <c r="D124" s="90"/>
      <c r="E124" s="867">
        <f>Generátory!I80</f>
        <v>30113.1</v>
      </c>
      <c r="F124" s="868">
        <f>Generátory!J80</f>
        <v>24437.887691579395</v>
      </c>
      <c r="G124" s="868">
        <f>Generátory!K80</f>
        <v>31087.708553972581</v>
      </c>
      <c r="H124" s="868">
        <f>Generátory!L80</f>
        <v>36075.387624154508</v>
      </c>
      <c r="I124" s="868">
        <f>Generátory!M80</f>
        <v>40808.542709457928</v>
      </c>
      <c r="J124" s="868">
        <f>Generátory!N80</f>
        <v>45751.233902005697</v>
      </c>
    </row>
    <row r="125" spans="1:10" x14ac:dyDescent="0.25">
      <c r="A125" s="90" t="s">
        <v>679</v>
      </c>
      <c r="B125" s="90"/>
      <c r="C125" s="90"/>
      <c r="D125" s="90"/>
      <c r="E125" s="867">
        <f>E123-E124</f>
        <v>20702.900000000001</v>
      </c>
      <c r="F125" s="868">
        <f t="shared" ref="F125:J125" si="45">F123-F124</f>
        <v>-16799.955606361764</v>
      </c>
      <c r="G125" s="868">
        <f t="shared" si="45"/>
        <v>-9582.2667278035951</v>
      </c>
      <c r="H125" s="868">
        <f t="shared" si="45"/>
        <v>6186.7973483415553</v>
      </c>
      <c r="I125" s="868">
        <f t="shared" si="45"/>
        <v>9272.5921260265095</v>
      </c>
      <c r="J125" s="868">
        <f t="shared" si="45"/>
        <v>-7216.9758664916153</v>
      </c>
    </row>
    <row r="126" spans="1:10" x14ac:dyDescent="0.25">
      <c r="A126" s="113" t="s">
        <v>115</v>
      </c>
      <c r="B126" s="107"/>
      <c r="C126" s="107"/>
      <c r="D126" s="107"/>
      <c r="E126" s="871">
        <f>Rozvaha!G63</f>
        <v>13886</v>
      </c>
      <c r="F126" s="213">
        <f>F127</f>
        <v>13886</v>
      </c>
      <c r="G126" s="213">
        <f t="shared" ref="G126:J126" si="46">G127</f>
        <v>13886</v>
      </c>
      <c r="H126" s="213">
        <f t="shared" si="46"/>
        <v>13886</v>
      </c>
      <c r="I126" s="213">
        <f t="shared" si="46"/>
        <v>13886</v>
      </c>
      <c r="J126" s="213">
        <f t="shared" si="46"/>
        <v>13886</v>
      </c>
    </row>
    <row r="127" spans="1:10" x14ac:dyDescent="0.25">
      <c r="A127" s="6" t="s">
        <v>117</v>
      </c>
      <c r="B127" s="876"/>
      <c r="C127" s="876"/>
      <c r="D127" s="876"/>
      <c r="E127" s="867">
        <f>Rozvaha!G64</f>
        <v>13886</v>
      </c>
      <c r="F127" s="868">
        <f>Generátory!J81</f>
        <v>13886</v>
      </c>
      <c r="G127" s="868">
        <f>Generátory!K81</f>
        <v>13886</v>
      </c>
      <c r="H127" s="868">
        <f>Generátory!L81</f>
        <v>13886</v>
      </c>
      <c r="I127" s="868">
        <f>Generátory!M81</f>
        <v>13886</v>
      </c>
      <c r="J127" s="868">
        <f>Generátory!N81</f>
        <v>13886</v>
      </c>
    </row>
    <row r="128" spans="1:10" x14ac:dyDescent="0.25">
      <c r="A128" s="1"/>
      <c r="E128" s="866"/>
    </row>
    <row r="129" spans="1:10" x14ac:dyDescent="0.25">
      <c r="A129" s="9" t="s">
        <v>122</v>
      </c>
      <c r="B129" s="527"/>
      <c r="C129" s="527"/>
      <c r="D129" s="527"/>
      <c r="E129" s="873">
        <f>Rozvaha!G68</f>
        <v>730790</v>
      </c>
      <c r="F129" s="874">
        <f>F130+F140+F153</f>
        <v>770138.03698799526</v>
      </c>
      <c r="G129" s="874">
        <f t="shared" ref="G129:J129" si="47">G130+G140+G153</f>
        <v>841957.99180124816</v>
      </c>
      <c r="H129" s="874">
        <f t="shared" si="47"/>
        <v>918480.53788377403</v>
      </c>
      <c r="I129" s="874">
        <f t="shared" si="47"/>
        <v>1004278.0115671367</v>
      </c>
      <c r="J129" s="874">
        <f t="shared" si="47"/>
        <v>1102670.493600287</v>
      </c>
    </row>
    <row r="130" spans="1:10" x14ac:dyDescent="0.25">
      <c r="A130" s="528" t="s">
        <v>123</v>
      </c>
      <c r="B130" s="175"/>
      <c r="C130" s="175"/>
      <c r="D130" s="175"/>
      <c r="E130" s="871">
        <f>Rozvaha!G69</f>
        <v>342904</v>
      </c>
      <c r="F130" s="872">
        <f>F131+F133+F135+F137+F139</f>
        <v>373336.66279672668</v>
      </c>
      <c r="G130" s="872">
        <f t="shared" ref="G130:J130" si="48">G131+G133+G135+G137+G139</f>
        <v>406619.72972246609</v>
      </c>
      <c r="H130" s="872">
        <f t="shared" si="48"/>
        <v>448724.32503817487</v>
      </c>
      <c r="I130" s="872">
        <f t="shared" si="48"/>
        <v>499027.87558998616</v>
      </c>
      <c r="J130" s="872">
        <f t="shared" si="48"/>
        <v>559042.26023451798</v>
      </c>
    </row>
    <row r="131" spans="1:10" x14ac:dyDescent="0.25">
      <c r="A131" s="529" t="s">
        <v>125</v>
      </c>
      <c r="B131" s="530"/>
      <c r="C131" s="530"/>
      <c r="D131" s="530"/>
      <c r="E131" s="875">
        <f>Rozvaha!G70</f>
        <v>150000</v>
      </c>
      <c r="F131" s="213">
        <f>F132</f>
        <v>150000</v>
      </c>
      <c r="G131" s="213">
        <f t="shared" ref="G131:J131" si="49">G132</f>
        <v>150000</v>
      </c>
      <c r="H131" s="213">
        <f t="shared" si="49"/>
        <v>150000</v>
      </c>
      <c r="I131" s="213">
        <f t="shared" si="49"/>
        <v>150000</v>
      </c>
      <c r="J131" s="213">
        <f t="shared" si="49"/>
        <v>150000</v>
      </c>
    </row>
    <row r="132" spans="1:10" x14ac:dyDescent="0.25">
      <c r="A132" s="135" t="s">
        <v>125</v>
      </c>
      <c r="B132" s="135"/>
      <c r="C132" s="135"/>
      <c r="D132" s="135"/>
      <c r="E132" s="867">
        <f>Rozvaha!G71</f>
        <v>150000</v>
      </c>
      <c r="F132" s="868">
        <f>E132</f>
        <v>150000</v>
      </c>
      <c r="G132" s="868">
        <f t="shared" ref="G132:J132" si="50">F132</f>
        <v>150000</v>
      </c>
      <c r="H132" s="868">
        <f t="shared" si="50"/>
        <v>150000</v>
      </c>
      <c r="I132" s="868">
        <f t="shared" si="50"/>
        <v>150000</v>
      </c>
      <c r="J132" s="868">
        <f t="shared" si="50"/>
        <v>150000</v>
      </c>
    </row>
    <row r="133" spans="1:10" x14ac:dyDescent="0.25">
      <c r="A133" s="529" t="s">
        <v>132</v>
      </c>
      <c r="B133" s="530"/>
      <c r="C133" s="530"/>
      <c r="D133" s="530"/>
      <c r="E133" s="875">
        <f>Rozvaha!G74</f>
        <v>11610</v>
      </c>
      <c r="F133" s="213">
        <f>F134</f>
        <v>11610</v>
      </c>
      <c r="G133" s="213">
        <f t="shared" ref="G133:J133" si="51">G134</f>
        <v>11610</v>
      </c>
      <c r="H133" s="213">
        <f t="shared" si="51"/>
        <v>11610</v>
      </c>
      <c r="I133" s="213">
        <f t="shared" si="51"/>
        <v>11610</v>
      </c>
      <c r="J133" s="213">
        <f t="shared" si="51"/>
        <v>11610</v>
      </c>
    </row>
    <row r="134" spans="1:10" x14ac:dyDescent="0.25">
      <c r="A134" s="135" t="s">
        <v>134</v>
      </c>
      <c r="B134" s="135"/>
      <c r="C134" s="135"/>
      <c r="D134" s="135"/>
      <c r="E134" s="867">
        <f>Rozvaha!G75</f>
        <v>11610</v>
      </c>
      <c r="F134" s="868">
        <f>E134</f>
        <v>11610</v>
      </c>
      <c r="G134" s="868">
        <f t="shared" ref="G134:J134" si="52">F134</f>
        <v>11610</v>
      </c>
      <c r="H134" s="868">
        <f t="shared" si="52"/>
        <v>11610</v>
      </c>
      <c r="I134" s="868">
        <f t="shared" si="52"/>
        <v>11610</v>
      </c>
      <c r="J134" s="868">
        <f t="shared" si="52"/>
        <v>11610</v>
      </c>
    </row>
    <row r="135" spans="1:10" x14ac:dyDescent="0.25">
      <c r="A135" s="529" t="s">
        <v>142</v>
      </c>
      <c r="B135" s="530"/>
      <c r="C135" s="530"/>
      <c r="D135" s="530"/>
      <c r="E135" s="875">
        <f>Rozvaha!G79</f>
        <v>30000</v>
      </c>
      <c r="F135" s="213">
        <f>F136</f>
        <v>30000</v>
      </c>
      <c r="G135" s="213">
        <f t="shared" ref="G135:J135" si="53">G136</f>
        <v>30000</v>
      </c>
      <c r="H135" s="213">
        <f t="shared" si="53"/>
        <v>30000</v>
      </c>
      <c r="I135" s="213">
        <f t="shared" si="53"/>
        <v>30000</v>
      </c>
      <c r="J135" s="213">
        <f t="shared" si="53"/>
        <v>30000</v>
      </c>
    </row>
    <row r="136" spans="1:10" x14ac:dyDescent="0.25">
      <c r="A136" s="135" t="s">
        <v>146</v>
      </c>
      <c r="B136" s="135"/>
      <c r="C136" s="135"/>
      <c r="D136" s="135"/>
      <c r="E136" s="867">
        <f>Rozvaha!G81</f>
        <v>30000</v>
      </c>
      <c r="F136" s="868">
        <f>E136</f>
        <v>30000</v>
      </c>
      <c r="G136" s="868">
        <f t="shared" ref="G136:J136" si="54">F136</f>
        <v>30000</v>
      </c>
      <c r="H136" s="868">
        <f t="shared" si="54"/>
        <v>30000</v>
      </c>
      <c r="I136" s="868">
        <f t="shared" si="54"/>
        <v>30000</v>
      </c>
      <c r="J136" s="868">
        <f t="shared" si="54"/>
        <v>30000</v>
      </c>
    </row>
    <row r="137" spans="1:10" x14ac:dyDescent="0.25">
      <c r="A137" s="529" t="s">
        <v>148</v>
      </c>
      <c r="B137" s="530"/>
      <c r="C137" s="530"/>
      <c r="D137" s="530"/>
      <c r="E137" s="875">
        <f>Rozvaha!G82</f>
        <v>99326</v>
      </c>
      <c r="F137" s="213">
        <f>F138</f>
        <v>131006</v>
      </c>
      <c r="G137" s="213">
        <f t="shared" ref="G137:J137" si="55">G138</f>
        <v>159538.66279672668</v>
      </c>
      <c r="H137" s="213">
        <f t="shared" si="55"/>
        <v>186940.72972246612</v>
      </c>
      <c r="I137" s="213">
        <f t="shared" si="55"/>
        <v>223579.32503817492</v>
      </c>
      <c r="J137" s="213">
        <f t="shared" si="55"/>
        <v>267407.87558998616</v>
      </c>
    </row>
    <row r="138" spans="1:10" x14ac:dyDescent="0.25">
      <c r="A138" s="135" t="s">
        <v>150</v>
      </c>
      <c r="B138" s="135"/>
      <c r="C138" s="135"/>
      <c r="D138" s="135"/>
      <c r="E138" s="867">
        <f>Rozvaha!G83</f>
        <v>99326</v>
      </c>
      <c r="F138" s="868">
        <f>E139+E138+F93</f>
        <v>131006</v>
      </c>
      <c r="G138" s="868">
        <f t="shared" ref="G138:J138" si="56">F139+F138+G93</f>
        <v>159538.66279672668</v>
      </c>
      <c r="H138" s="868">
        <f t="shared" si="56"/>
        <v>186940.72972246612</v>
      </c>
      <c r="I138" s="868">
        <f t="shared" si="56"/>
        <v>223579.32503817492</v>
      </c>
      <c r="J138" s="868">
        <f t="shared" si="56"/>
        <v>267407.87558998616</v>
      </c>
    </row>
    <row r="139" spans="1:10" x14ac:dyDescent="0.25">
      <c r="A139" s="529" t="s">
        <v>154</v>
      </c>
      <c r="B139" s="530"/>
      <c r="C139" s="530"/>
      <c r="D139" s="530"/>
      <c r="E139" s="875">
        <f>Rozvaha!G85</f>
        <v>51968</v>
      </c>
      <c r="F139" s="213">
        <f>F39</f>
        <v>50720.662796726669</v>
      </c>
      <c r="G139" s="213">
        <f t="shared" ref="G139:J139" si="57">G39</f>
        <v>55471.066925739426</v>
      </c>
      <c r="H139" s="213">
        <f t="shared" si="57"/>
        <v>70173.595315708808</v>
      </c>
      <c r="I139" s="213">
        <f t="shared" si="57"/>
        <v>83838.550551811233</v>
      </c>
      <c r="J139" s="213">
        <f t="shared" si="57"/>
        <v>100024.38464453185</v>
      </c>
    </row>
    <row r="140" spans="1:10" x14ac:dyDescent="0.25">
      <c r="A140" s="528" t="s">
        <v>155</v>
      </c>
      <c r="B140" s="175"/>
      <c r="C140" s="175"/>
      <c r="D140" s="175"/>
      <c r="E140" s="871">
        <f>Rozvaha!G86</f>
        <v>375970</v>
      </c>
      <c r="F140" s="872">
        <f>F141+F143+F145+F150</f>
        <v>384885.37419126852</v>
      </c>
      <c r="G140" s="872">
        <f t="shared" ref="G140:J140" si="58">G141+G143+G145+G150</f>
        <v>423422.26207878214</v>
      </c>
      <c r="H140" s="872">
        <f t="shared" si="58"/>
        <v>457840.21284559916</v>
      </c>
      <c r="I140" s="872">
        <f t="shared" si="58"/>
        <v>493334.13597715052</v>
      </c>
      <c r="J140" s="872">
        <f t="shared" si="58"/>
        <v>531712.23336576915</v>
      </c>
    </row>
    <row r="141" spans="1:10" x14ac:dyDescent="0.25">
      <c r="A141" s="529" t="s">
        <v>156</v>
      </c>
      <c r="B141" s="530"/>
      <c r="C141" s="530"/>
      <c r="D141" s="530"/>
      <c r="E141" s="875">
        <f>Rozvaha!G87</f>
        <v>5070</v>
      </c>
      <c r="F141" s="213">
        <f>F142</f>
        <v>6164</v>
      </c>
      <c r="G141" s="213">
        <f t="shared" ref="G141:J141" si="59">G142</f>
        <v>8823.1961129572937</v>
      </c>
      <c r="H141" s="213">
        <f t="shared" si="59"/>
        <v>11019.053139423462</v>
      </c>
      <c r="I141" s="213">
        <f t="shared" si="59"/>
        <v>13186.605433156528</v>
      </c>
      <c r="J141" s="213">
        <f t="shared" si="59"/>
        <v>15479.18654511248</v>
      </c>
    </row>
    <row r="142" spans="1:10" x14ac:dyDescent="0.25">
      <c r="A142" s="135" t="s">
        <v>157</v>
      </c>
      <c r="B142" s="135"/>
      <c r="C142" s="135"/>
      <c r="D142" s="135"/>
      <c r="E142" s="867">
        <f>Rozvaha!G88</f>
        <v>5070</v>
      </c>
      <c r="F142" s="868">
        <f>E142+F54</f>
        <v>6164</v>
      </c>
      <c r="G142" s="868">
        <f t="shared" ref="G142:J142" si="60">F142+G54</f>
        <v>8823.1961129572937</v>
      </c>
      <c r="H142" s="868">
        <f t="shared" si="60"/>
        <v>11019.053139423462</v>
      </c>
      <c r="I142" s="868">
        <f t="shared" si="60"/>
        <v>13186.605433156528</v>
      </c>
      <c r="J142" s="868">
        <f t="shared" si="60"/>
        <v>15479.18654511248</v>
      </c>
    </row>
    <row r="143" spans="1:10" x14ac:dyDescent="0.25">
      <c r="A143" s="529" t="s">
        <v>161</v>
      </c>
      <c r="B143" s="530"/>
      <c r="C143" s="530"/>
      <c r="D143" s="530"/>
      <c r="E143" s="875">
        <f>Rozvaha!G92</f>
        <v>12770</v>
      </c>
      <c r="F143" s="213">
        <f>F144</f>
        <v>12770</v>
      </c>
      <c r="G143" s="213">
        <f t="shared" ref="G143:J143" si="61">G144</f>
        <v>12770</v>
      </c>
      <c r="H143" s="213">
        <f t="shared" si="61"/>
        <v>12770</v>
      </c>
      <c r="I143" s="213">
        <f t="shared" si="61"/>
        <v>12770</v>
      </c>
      <c r="J143" s="213">
        <f t="shared" si="61"/>
        <v>12770</v>
      </c>
    </row>
    <row r="144" spans="1:10" x14ac:dyDescent="0.25">
      <c r="A144" s="135" t="s">
        <v>168</v>
      </c>
      <c r="B144" s="135"/>
      <c r="C144" s="135"/>
      <c r="D144" s="135"/>
      <c r="E144" s="867">
        <f>Rozvaha!G98</f>
        <v>12770</v>
      </c>
      <c r="F144" s="868">
        <f>E144+F90</f>
        <v>12770</v>
      </c>
      <c r="G144" s="868">
        <f t="shared" ref="G144:J144" si="62">F144+G90</f>
        <v>12770</v>
      </c>
      <c r="H144" s="868">
        <f t="shared" si="62"/>
        <v>12770</v>
      </c>
      <c r="I144" s="868">
        <f t="shared" si="62"/>
        <v>12770</v>
      </c>
      <c r="J144" s="868">
        <f t="shared" si="62"/>
        <v>12770</v>
      </c>
    </row>
    <row r="145" spans="1:10" x14ac:dyDescent="0.25">
      <c r="A145" s="529" t="s">
        <v>174</v>
      </c>
      <c r="B145" s="530"/>
      <c r="C145" s="530"/>
      <c r="D145" s="530"/>
      <c r="E145" s="875">
        <f>Rozvaha!G103</f>
        <v>200754</v>
      </c>
      <c r="F145" s="213">
        <f>SUM(F146:F149)</f>
        <v>208575.37419126852</v>
      </c>
      <c r="G145" s="213">
        <f t="shared" ref="G145:J145" si="63">SUM(G146:G149)</f>
        <v>244453.06596582485</v>
      </c>
      <c r="H145" s="213">
        <f t="shared" si="63"/>
        <v>276675.15970617568</v>
      </c>
      <c r="I145" s="213">
        <f t="shared" si="63"/>
        <v>310001.53054399398</v>
      </c>
      <c r="J145" s="213">
        <f t="shared" si="63"/>
        <v>346087.04682065669</v>
      </c>
    </row>
    <row r="146" spans="1:10" x14ac:dyDescent="0.25">
      <c r="A146" s="135" t="s">
        <v>162</v>
      </c>
      <c r="B146" s="135"/>
      <c r="C146" s="135"/>
      <c r="D146" s="135"/>
      <c r="E146" s="867">
        <f>Rozvaha!G104</f>
        <v>145572</v>
      </c>
      <c r="F146" s="868">
        <f>Generátory!J65*Generátory!J6/365</f>
        <v>142211.78121981648</v>
      </c>
      <c r="G146" s="868">
        <f>Generátory!K65*Generátory!K6/365</f>
        <v>168888.38925106</v>
      </c>
      <c r="H146" s="868">
        <f>Generátory!L65*Generátory!L6/365</f>
        <v>191914.22501865198</v>
      </c>
      <c r="I146" s="868">
        <f>Generátory!M65*Generátory!M6/365</f>
        <v>215358.09056147758</v>
      </c>
      <c r="J146" s="868">
        <f>Generátory!N65*Generátory!N6/365</f>
        <v>240587.9238592372</v>
      </c>
    </row>
    <row r="147" spans="1:10" x14ac:dyDescent="0.25">
      <c r="A147" s="135" t="s">
        <v>175</v>
      </c>
      <c r="B147" s="135"/>
      <c r="C147" s="135"/>
      <c r="D147" s="135"/>
      <c r="E147" s="867">
        <f>Rozvaha!G108</f>
        <v>45678</v>
      </c>
      <c r="F147" s="868">
        <f>Generátory!J66*Generátory!J6/365</f>
        <v>54848.024939387375</v>
      </c>
      <c r="G147" s="868">
        <f>Generátory!K66*Generátory!K6/365</f>
        <v>62506.195986408668</v>
      </c>
      <c r="H147" s="868">
        <f>Generátory!L66*Generátory!L6/365</f>
        <v>70132.298396761573</v>
      </c>
      <c r="I147" s="868">
        <f>Generátory!M66*Generátory!M6/365</f>
        <v>78317.450144140908</v>
      </c>
      <c r="J147" s="868">
        <f>Generátory!N66*Generátory!N6/365</f>
        <v>87304.601510031556</v>
      </c>
    </row>
    <row r="148" spans="1:10" x14ac:dyDescent="0.25">
      <c r="A148" s="135" t="s">
        <v>176</v>
      </c>
      <c r="B148" s="135"/>
      <c r="C148" s="135"/>
      <c r="D148" s="135"/>
      <c r="E148" s="867">
        <f>Rozvaha!G109</f>
        <v>3946</v>
      </c>
      <c r="F148" s="868">
        <f>Generátory!J67*Generátory!J6/365</f>
        <v>4982.4684693827139</v>
      </c>
      <c r="G148" s="868">
        <f>Generátory!K67*Generátory!K6/365</f>
        <v>5506.9691910479251</v>
      </c>
      <c r="H148" s="868">
        <f>Generátory!L67*Generátory!L6/365</f>
        <v>6118.0986857307598</v>
      </c>
      <c r="I148" s="868">
        <f>Generátory!M67*Generátory!M6/365</f>
        <v>6805.9018547449223</v>
      </c>
      <c r="J148" s="868">
        <f>Generátory!N67*Generátory!N6/365</f>
        <v>7573.9257392585841</v>
      </c>
    </row>
    <row r="149" spans="1:10" x14ac:dyDescent="0.25">
      <c r="A149" s="135" t="s">
        <v>177</v>
      </c>
      <c r="B149" s="135"/>
      <c r="C149" s="135"/>
      <c r="D149" s="135"/>
      <c r="E149" s="867">
        <f>Rozvaha!G110</f>
        <v>5558</v>
      </c>
      <c r="F149" s="868">
        <f>Generátory!J68*Generátory!J6/365</f>
        <v>6533.0995626819868</v>
      </c>
      <c r="G149" s="868">
        <f>Generátory!K68*Generátory!K6/365</f>
        <v>7551.5115373082799</v>
      </c>
      <c r="H149" s="868">
        <f>Generátory!L68*Generátory!L6/365</f>
        <v>8510.5376050313334</v>
      </c>
      <c r="I149" s="868">
        <f>Generátory!M68*Generátory!M6/365</f>
        <v>9520.0879836305576</v>
      </c>
      <c r="J149" s="868">
        <f>Generátory!N68*Generátory!N6/365</f>
        <v>10620.595712129374</v>
      </c>
    </row>
    <row r="150" spans="1:10" x14ac:dyDescent="0.25">
      <c r="A150" s="529" t="s">
        <v>184</v>
      </c>
      <c r="B150" s="530"/>
      <c r="C150" s="530"/>
      <c r="D150" s="530"/>
      <c r="E150" s="875">
        <f>Rozvaha!G115</f>
        <v>157376</v>
      </c>
      <c r="F150" s="213">
        <f>SUM(F151:F152)</f>
        <v>157376</v>
      </c>
      <c r="G150" s="213">
        <f t="shared" ref="G150:J150" si="64">SUM(G151:G152)</f>
        <v>157376</v>
      </c>
      <c r="H150" s="213">
        <f t="shared" si="64"/>
        <v>157376</v>
      </c>
      <c r="I150" s="213">
        <f t="shared" si="64"/>
        <v>157376</v>
      </c>
      <c r="J150" s="213">
        <f t="shared" si="64"/>
        <v>157376</v>
      </c>
    </row>
    <row r="151" spans="1:10" x14ac:dyDescent="0.25">
      <c r="A151" s="135" t="s">
        <v>186</v>
      </c>
      <c r="B151" s="135"/>
      <c r="C151" s="135"/>
      <c r="D151" s="135"/>
      <c r="E151" s="867">
        <f>Rozvaha!G116</f>
        <v>120882</v>
      </c>
      <c r="F151" s="868">
        <f>E151+F88</f>
        <v>120882</v>
      </c>
      <c r="G151" s="868">
        <f t="shared" ref="G151:J151" si="65">F151+G88</f>
        <v>120882</v>
      </c>
      <c r="H151" s="868">
        <f t="shared" si="65"/>
        <v>120882</v>
      </c>
      <c r="I151" s="868">
        <f t="shared" si="65"/>
        <v>120882</v>
      </c>
      <c r="J151" s="868">
        <f t="shared" si="65"/>
        <v>120882</v>
      </c>
    </row>
    <row r="152" spans="1:10" x14ac:dyDescent="0.25">
      <c r="A152" s="135" t="s">
        <v>188</v>
      </c>
      <c r="B152" s="135"/>
      <c r="C152" s="135"/>
      <c r="D152" s="135"/>
      <c r="E152" s="867">
        <f>Rozvaha!G117</f>
        <v>36494</v>
      </c>
      <c r="F152" s="868">
        <f>E152+F89</f>
        <v>36494</v>
      </c>
      <c r="G152" s="868">
        <f t="shared" ref="G152:J152" si="66">F152+G89</f>
        <v>36494</v>
      </c>
      <c r="H152" s="868">
        <f t="shared" si="66"/>
        <v>36494</v>
      </c>
      <c r="I152" s="868">
        <f t="shared" si="66"/>
        <v>36494</v>
      </c>
      <c r="J152" s="868">
        <f t="shared" si="66"/>
        <v>36494</v>
      </c>
    </row>
    <row r="153" spans="1:10" x14ac:dyDescent="0.25">
      <c r="A153" s="528" t="s">
        <v>115</v>
      </c>
      <c r="B153" s="175"/>
      <c r="C153" s="175"/>
      <c r="D153" s="175"/>
      <c r="E153" s="871">
        <f>Rozvaha!G119</f>
        <v>11916</v>
      </c>
      <c r="F153" s="877">
        <f>F154</f>
        <v>11916</v>
      </c>
      <c r="G153" s="877">
        <f t="shared" ref="G153:J153" si="67">G154</f>
        <v>11916</v>
      </c>
      <c r="H153" s="877">
        <f t="shared" si="67"/>
        <v>11916</v>
      </c>
      <c r="I153" s="877">
        <f t="shared" si="67"/>
        <v>11916</v>
      </c>
      <c r="J153" s="877">
        <f t="shared" si="67"/>
        <v>11916</v>
      </c>
    </row>
    <row r="154" spans="1:10" x14ac:dyDescent="0.25">
      <c r="A154" s="135" t="s">
        <v>191</v>
      </c>
      <c r="B154" s="135"/>
      <c r="C154" s="135"/>
      <c r="D154" s="135"/>
      <c r="E154" s="867">
        <f>Rozvaha!G120</f>
        <v>11916</v>
      </c>
      <c r="F154" s="878">
        <f>Generátory!J83</f>
        <v>11916</v>
      </c>
      <c r="G154" s="878">
        <f>Generátory!K83</f>
        <v>11916</v>
      </c>
      <c r="H154" s="878">
        <f>Generátory!L83</f>
        <v>11916</v>
      </c>
      <c r="I154" s="878">
        <f>Generátory!M83</f>
        <v>11916</v>
      </c>
      <c r="J154" s="878">
        <f>Generátory!N83</f>
        <v>11916</v>
      </c>
    </row>
    <row r="158" spans="1:10" x14ac:dyDescent="0.25">
      <c r="A158" s="567" t="s">
        <v>1146</v>
      </c>
      <c r="E158" s="323">
        <f>Rozvaha!G1</f>
        <v>2016</v>
      </c>
      <c r="F158" s="152">
        <f>E158+1</f>
        <v>2017</v>
      </c>
      <c r="G158" s="153">
        <f>F158+1</f>
        <v>2018</v>
      </c>
      <c r="H158" s="153">
        <f>G158+1</f>
        <v>2019</v>
      </c>
      <c r="I158" s="847">
        <f>H158+1</f>
        <v>2020</v>
      </c>
      <c r="J158" s="153">
        <f>I158+1</f>
        <v>2021</v>
      </c>
    </row>
    <row r="159" spans="1:10" x14ac:dyDescent="0.25">
      <c r="A159" s="69" t="s">
        <v>680</v>
      </c>
      <c r="B159" s="69"/>
      <c r="C159" s="69"/>
      <c r="D159" s="69"/>
      <c r="E159" s="879">
        <f>E59+E68+E73</f>
        <v>82578</v>
      </c>
      <c r="F159" s="880">
        <f t="shared" ref="F159:J159" si="68">F59+F68+F73</f>
        <v>59462.53208521763</v>
      </c>
      <c r="G159" s="880">
        <f t="shared" si="68"/>
        <v>122782.10974095136</v>
      </c>
      <c r="H159" s="880">
        <f t="shared" si="68"/>
        <v>129219.34314632708</v>
      </c>
      <c r="I159" s="880">
        <f t="shared" si="68"/>
        <v>141714.54986298838</v>
      </c>
      <c r="J159" s="880">
        <f t="shared" si="68"/>
        <v>156552.72320002966</v>
      </c>
    </row>
    <row r="160" spans="1:10" x14ac:dyDescent="0.25">
      <c r="A160" s="140"/>
      <c r="B160" s="140"/>
      <c r="C160" s="140"/>
      <c r="D160" s="140"/>
      <c r="E160" s="881"/>
      <c r="F160" s="881"/>
      <c r="G160" s="881"/>
      <c r="H160" s="881"/>
      <c r="I160" s="881"/>
      <c r="J160" s="881"/>
    </row>
    <row r="161" spans="1:10" x14ac:dyDescent="0.25">
      <c r="A161" s="113" t="s">
        <v>535</v>
      </c>
      <c r="B161" s="113"/>
      <c r="C161" s="113"/>
      <c r="D161" s="113"/>
      <c r="E161" s="215"/>
      <c r="F161" s="220"/>
      <c r="G161" s="220"/>
      <c r="H161" s="220"/>
      <c r="I161" s="220"/>
      <c r="J161" s="220"/>
    </row>
    <row r="162" spans="1:10" x14ac:dyDescent="0.25">
      <c r="A162" s="69" t="s">
        <v>681</v>
      </c>
      <c r="B162" s="69"/>
      <c r="C162" s="69"/>
      <c r="D162" s="69"/>
      <c r="E162" s="882">
        <f>E123/(E145+E152)</f>
        <v>0.21418937145940115</v>
      </c>
      <c r="F162" s="883">
        <f t="shared" ref="F162:J162" si="69">F123/(F145+F152)</f>
        <v>3.1166407921931847E-2</v>
      </c>
      <c r="G162" s="883">
        <f t="shared" si="69"/>
        <v>7.6546241023157588E-2</v>
      </c>
      <c r="H162" s="883">
        <f t="shared" si="69"/>
        <v>0.1349500219374975</v>
      </c>
      <c r="I162" s="883">
        <f t="shared" si="69"/>
        <v>0.14453616402167621</v>
      </c>
      <c r="J162" s="883">
        <f t="shared" si="69"/>
        <v>0.10072181660786209</v>
      </c>
    </row>
    <row r="163" spans="1:10" x14ac:dyDescent="0.25">
      <c r="A163" s="69" t="s">
        <v>472</v>
      </c>
      <c r="B163" s="69"/>
      <c r="C163" s="69"/>
      <c r="D163" s="69"/>
      <c r="E163" s="882">
        <f>(E121+E123)/(E145+E152)</f>
        <v>0.46340538171027784</v>
      </c>
      <c r="F163" s="883">
        <f t="shared" ref="F163:J163" si="70">(F121+F123)/(F145+F152)</f>
        <v>0.30241661405336695</v>
      </c>
      <c r="G163" s="883">
        <f t="shared" si="70"/>
        <v>0.33898521113488739</v>
      </c>
      <c r="H163" s="883">
        <f t="shared" si="70"/>
        <v>0.3968159578550598</v>
      </c>
      <c r="I163" s="883">
        <f t="shared" si="70"/>
        <v>0.40794236978577475</v>
      </c>
      <c r="J163" s="883">
        <f t="shared" si="70"/>
        <v>0.36625764208962364</v>
      </c>
    </row>
    <row r="164" spans="1:10" x14ac:dyDescent="0.25">
      <c r="A164" s="69" t="s">
        <v>354</v>
      </c>
      <c r="B164" s="69"/>
      <c r="C164" s="69"/>
      <c r="D164" s="69"/>
      <c r="E164" s="882">
        <f>E117/(E$145+E152)</f>
        <v>1.0799248044240626</v>
      </c>
      <c r="F164" s="883">
        <f t="shared" ref="F164:J164" si="71">F117/(F$145+F152)</f>
        <v>1.055119342599635</v>
      </c>
      <c r="G164" s="883">
        <f t="shared" si="71"/>
        <v>1.0672955684270782</v>
      </c>
      <c r="H164" s="883">
        <f t="shared" si="71"/>
        <v>1.1235551149009535</v>
      </c>
      <c r="I164" s="883">
        <f t="shared" si="71"/>
        <v>1.1389636424676164</v>
      </c>
      <c r="J164" s="883">
        <f t="shared" si="71"/>
        <v>1.1031925403546474</v>
      </c>
    </row>
    <row r="165" spans="1:10" x14ac:dyDescent="0.25">
      <c r="A165" s="140"/>
      <c r="B165" s="140"/>
      <c r="C165" s="140"/>
      <c r="D165" s="140"/>
      <c r="E165" s="884"/>
      <c r="F165" s="884"/>
      <c r="G165" s="884"/>
      <c r="H165" s="884"/>
      <c r="I165" s="884"/>
      <c r="J165" s="884"/>
    </row>
    <row r="166" spans="1:10" x14ac:dyDescent="0.25">
      <c r="A166" s="113" t="s">
        <v>682</v>
      </c>
      <c r="B166" s="113"/>
      <c r="C166" s="113"/>
      <c r="D166" s="113"/>
      <c r="E166" s="215"/>
      <c r="F166" s="220"/>
      <c r="G166" s="220"/>
      <c r="H166" s="220"/>
      <c r="I166" s="220"/>
      <c r="J166" s="220"/>
    </row>
    <row r="167" spans="1:10" x14ac:dyDescent="0.25">
      <c r="A167" s="69" t="s">
        <v>683</v>
      </c>
      <c r="B167" s="69"/>
      <c r="C167" s="69"/>
      <c r="D167" s="69"/>
      <c r="E167" s="218">
        <f>E130/E129</f>
        <v>0.46922371679962782</v>
      </c>
      <c r="F167" s="219">
        <f t="shared" ref="F167:J167" si="72">F130/F129</f>
        <v>0.48476590541722092</v>
      </c>
      <c r="G167" s="219">
        <f t="shared" si="72"/>
        <v>0.48294538882226368</v>
      </c>
      <c r="H167" s="219">
        <f t="shared" si="72"/>
        <v>0.48855071667828542</v>
      </c>
      <c r="I167" s="219">
        <f t="shared" si="72"/>
        <v>0.49690212256193139</v>
      </c>
      <c r="J167" s="219">
        <f t="shared" si="72"/>
        <v>0.50698940751485111</v>
      </c>
    </row>
    <row r="168" spans="1:10" x14ac:dyDescent="0.25">
      <c r="A168" s="69" t="s">
        <v>360</v>
      </c>
      <c r="B168" s="69"/>
      <c r="C168" s="69"/>
      <c r="D168" s="69"/>
      <c r="E168" s="885">
        <f>(E37+E24)/E24</f>
        <v>7.0894077448747153</v>
      </c>
      <c r="F168" s="886">
        <f t="shared" ref="F168:J168" si="73">(F37+F24)/F24</f>
        <v>8.1589972319131601</v>
      </c>
      <c r="G168" s="886">
        <f t="shared" si="73"/>
        <v>8.8294957651512931</v>
      </c>
      <c r="H168" s="886">
        <f t="shared" si="73"/>
        <v>10.904692622647964</v>
      </c>
      <c r="I168" s="886">
        <f t="shared" si="73"/>
        <v>12.833440618342292</v>
      </c>
      <c r="J168" s="886">
        <f t="shared" si="73"/>
        <v>15.117999515578759</v>
      </c>
    </row>
    <row r="169" spans="1:10" x14ac:dyDescent="0.25">
      <c r="A169" s="69" t="s">
        <v>684</v>
      </c>
      <c r="B169" s="69"/>
      <c r="C169" s="69"/>
      <c r="D169" s="69"/>
      <c r="E169" s="885">
        <f>(E140-E141)/E159</f>
        <v>4.4915110562135192</v>
      </c>
      <c r="F169" s="886">
        <f t="shared" ref="F169:J169" si="74">(F140-F141)/F159</f>
        <v>6.3690758013552298</v>
      </c>
      <c r="G169" s="886">
        <f t="shared" si="74"/>
        <v>3.376705831497405</v>
      </c>
      <c r="H169" s="886">
        <f t="shared" si="74"/>
        <v>3.4578504179532819</v>
      </c>
      <c r="I169" s="886">
        <f t="shared" si="74"/>
        <v>3.3881315010223534</v>
      </c>
      <c r="J169" s="886">
        <f t="shared" si="74"/>
        <v>3.2975028237679282</v>
      </c>
    </row>
    <row r="170" spans="1:10" x14ac:dyDescent="0.25">
      <c r="A170" s="140"/>
      <c r="B170" s="140"/>
      <c r="C170" s="140"/>
      <c r="D170" s="140"/>
      <c r="E170" s="884"/>
      <c r="F170" s="884"/>
      <c r="G170" s="884"/>
      <c r="H170" s="884"/>
      <c r="I170" s="884"/>
      <c r="J170" s="884"/>
    </row>
    <row r="171" spans="1:10" x14ac:dyDescent="0.25">
      <c r="A171" s="113" t="s">
        <v>1520</v>
      </c>
      <c r="B171" s="113"/>
      <c r="C171" s="113"/>
      <c r="D171" s="113"/>
      <c r="E171" s="216"/>
      <c r="F171" s="221"/>
      <c r="G171" s="221"/>
      <c r="H171" s="221"/>
      <c r="I171" s="221"/>
      <c r="J171" s="221"/>
    </row>
    <row r="172" spans="1:10" x14ac:dyDescent="0.25">
      <c r="A172" s="69" t="s">
        <v>685</v>
      </c>
      <c r="B172" s="69"/>
      <c r="C172" s="69"/>
      <c r="D172" s="69"/>
      <c r="E172" s="218">
        <f>(E37+E24)/E129</f>
        <v>0.10220993719125877</v>
      </c>
      <c r="F172" s="219">
        <f t="shared" ref="F172:J172" si="75">(F37+F24)/F129</f>
        <v>9.26650402793876E-2</v>
      </c>
      <c r="G172" s="219">
        <f t="shared" si="75"/>
        <v>9.1726154304362401E-2</v>
      </c>
      <c r="H172" s="219">
        <f t="shared" si="75"/>
        <v>0.10384633572177898</v>
      </c>
      <c r="I172" s="219">
        <f t="shared" si="75"/>
        <v>0.11177298726488522</v>
      </c>
      <c r="J172" s="219">
        <f t="shared" si="75"/>
        <v>0.11992128690333209</v>
      </c>
    </row>
    <row r="173" spans="1:10" x14ac:dyDescent="0.25">
      <c r="A173" s="69" t="s">
        <v>686</v>
      </c>
      <c r="B173" s="69"/>
      <c r="C173" s="69"/>
      <c r="D173" s="69"/>
      <c r="E173" s="218">
        <f>E39/E130</f>
        <v>0.15155262114177728</v>
      </c>
      <c r="F173" s="219">
        <f t="shared" ref="F173:J173" si="76">F39/F130</f>
        <v>0.13585770659856922</v>
      </c>
      <c r="G173" s="219">
        <f t="shared" si="76"/>
        <v>0.13642000835424439</v>
      </c>
      <c r="H173" s="219">
        <f t="shared" si="76"/>
        <v>0.15638464732157956</v>
      </c>
      <c r="I173" s="219">
        <f t="shared" si="76"/>
        <v>0.16800374218111835</v>
      </c>
      <c r="J173" s="219">
        <f t="shared" si="76"/>
        <v>0.17892097209712135</v>
      </c>
    </row>
    <row r="174" spans="1:10" x14ac:dyDescent="0.25">
      <c r="A174" s="69" t="s">
        <v>687</v>
      </c>
      <c r="B174" s="69"/>
      <c r="C174" s="69"/>
      <c r="D174" s="69"/>
      <c r="E174" s="218">
        <f>E39/E12</f>
        <v>2.5289081334022398E-2</v>
      </c>
      <c r="F174" s="219">
        <f t="shared" ref="F174:J174" si="77">F39/F12</f>
        <v>2.1274201696410613E-2</v>
      </c>
      <c r="G174" s="219">
        <f t="shared" si="77"/>
        <v>2.0666118731420224E-2</v>
      </c>
      <c r="H174" s="219">
        <f t="shared" si="77"/>
        <v>2.3391424156152488E-2</v>
      </c>
      <c r="I174" s="219">
        <f t="shared" si="77"/>
        <v>2.5063398214823032E-2</v>
      </c>
      <c r="J174" s="219">
        <f t="shared" si="77"/>
        <v>2.6841928469043125E-2</v>
      </c>
    </row>
    <row r="175" spans="1:10" x14ac:dyDescent="0.25">
      <c r="A175" s="69" t="s">
        <v>688</v>
      </c>
      <c r="B175" s="69"/>
      <c r="C175" s="69"/>
      <c r="D175" s="69"/>
      <c r="E175" s="218">
        <f>E19/E12</f>
        <v>3.5018720577257537E-2</v>
      </c>
      <c r="F175" s="219">
        <f t="shared" ref="F175:J175" si="78">F19/F12</f>
        <v>2.9799764123549753E-2</v>
      </c>
      <c r="G175" s="219">
        <f t="shared" si="78"/>
        <v>2.8734323323300722E-2</v>
      </c>
      <c r="H175" s="219">
        <f t="shared" si="78"/>
        <v>3.1736743273755141E-2</v>
      </c>
      <c r="I175" s="219">
        <f t="shared" si="78"/>
        <v>3.3474995832526472E-2</v>
      </c>
      <c r="J175" s="219">
        <f t="shared" si="78"/>
        <v>3.5401040705965475E-2</v>
      </c>
    </row>
    <row r="176" spans="1:10" x14ac:dyDescent="0.25">
      <c r="A176" s="69" t="s">
        <v>689</v>
      </c>
      <c r="B176" s="69"/>
      <c r="C176" s="69"/>
      <c r="D176" s="69"/>
      <c r="E176" s="218">
        <f>E159/E12</f>
        <v>4.0184762900263654E-2</v>
      </c>
      <c r="F176" s="219">
        <f t="shared" ref="F176:J176" si="79">F159/F12</f>
        <v>2.4940878750540445E-2</v>
      </c>
      <c r="G176" s="219">
        <f t="shared" si="79"/>
        <v>4.5743300041401626E-2</v>
      </c>
      <c r="H176" s="219">
        <f t="shared" si="79"/>
        <v>4.3073530023885198E-2</v>
      </c>
      <c r="I176" s="219">
        <f t="shared" si="79"/>
        <v>4.2365333998176324E-2</v>
      </c>
      <c r="J176" s="219">
        <f t="shared" si="79"/>
        <v>4.2011525616507055E-2</v>
      </c>
    </row>
    <row r="177" spans="1:10" x14ac:dyDescent="0.25">
      <c r="A177" s="140"/>
      <c r="B177" s="140"/>
      <c r="C177" s="140"/>
      <c r="D177" s="140"/>
      <c r="E177" s="217"/>
      <c r="F177" s="217"/>
      <c r="G177" s="217"/>
      <c r="H177" s="217"/>
      <c r="I177" s="217"/>
      <c r="J177" s="217"/>
    </row>
    <row r="178" spans="1:10" x14ac:dyDescent="0.25">
      <c r="A178" s="113" t="s">
        <v>1521</v>
      </c>
      <c r="B178" s="113"/>
      <c r="C178" s="113"/>
      <c r="D178" s="113"/>
      <c r="E178" s="216"/>
      <c r="F178" s="221"/>
      <c r="G178" s="221"/>
      <c r="H178" s="221"/>
      <c r="I178" s="221"/>
      <c r="J178" s="221"/>
    </row>
    <row r="179" spans="1:10" x14ac:dyDescent="0.25">
      <c r="A179" s="69" t="s">
        <v>690</v>
      </c>
      <c r="B179" s="69"/>
      <c r="C179" s="69"/>
      <c r="D179" s="69"/>
      <c r="E179" s="218">
        <f>E19*(1-E7)/E12</f>
        <v>2.8365163667578609E-2</v>
      </c>
      <c r="F179" s="219">
        <f t="shared" ref="F179:J179" si="80">F19*(1-F7)/F12</f>
        <v>2.4137808940075303E-2</v>
      </c>
      <c r="G179" s="219">
        <f t="shared" si="80"/>
        <v>2.3274801891873587E-2</v>
      </c>
      <c r="H179" s="219">
        <f t="shared" si="80"/>
        <v>2.5706762051741664E-2</v>
      </c>
      <c r="I179" s="219">
        <f t="shared" si="80"/>
        <v>2.7114746624346441E-2</v>
      </c>
      <c r="J179" s="219">
        <f t="shared" si="80"/>
        <v>2.8674842971832041E-2</v>
      </c>
    </row>
    <row r="180" spans="1:10" x14ac:dyDescent="0.25">
      <c r="A180" s="69" t="s">
        <v>691</v>
      </c>
      <c r="B180" s="69"/>
      <c r="C180" s="69"/>
      <c r="D180" s="69"/>
      <c r="E180" s="218">
        <f>E19*(1-E7)/Generátory!H201</f>
        <v>0.13301891248908895</v>
      </c>
      <c r="F180" s="219">
        <f>F19*(1-F7)/Generátory!I201</f>
        <v>0.11770626949710628</v>
      </c>
      <c r="G180" s="219">
        <f>G19*(1-G7)/Generátory!J201</f>
        <v>0.1116508345347489</v>
      </c>
      <c r="H180" s="219">
        <f>H19*(1-H7)/Generátory!K201</f>
        <v>0.13074096072899993</v>
      </c>
      <c r="I180" s="219">
        <f>I19*(1-I7)/Generátory!L201</f>
        <v>0.14572022428956127</v>
      </c>
      <c r="J180" s="219">
        <f>J19*(1-J7)/Generátory!M201</f>
        <v>0.15905387119022815</v>
      </c>
    </row>
    <row r="181" spans="1:10" x14ac:dyDescent="0.25">
      <c r="A181" s="140"/>
      <c r="B181" s="140"/>
      <c r="C181" s="140"/>
      <c r="D181" s="140"/>
      <c r="E181" s="217"/>
      <c r="F181" s="217"/>
      <c r="G181" s="217"/>
      <c r="H181" s="217"/>
      <c r="I181" s="217"/>
      <c r="J181" s="217"/>
    </row>
    <row r="182" spans="1:10" x14ac:dyDescent="0.25">
      <c r="A182" s="113" t="s">
        <v>692</v>
      </c>
      <c r="B182" s="113"/>
      <c r="C182" s="113"/>
      <c r="D182" s="113"/>
      <c r="E182" s="215"/>
      <c r="F182" s="220"/>
      <c r="G182" s="220"/>
      <c r="H182" s="220"/>
      <c r="I182" s="220"/>
      <c r="J182" s="220"/>
    </row>
    <row r="183" spans="1:10" x14ac:dyDescent="0.25">
      <c r="A183" s="69" t="s">
        <v>693</v>
      </c>
      <c r="B183" s="69"/>
      <c r="C183" s="69"/>
      <c r="D183" s="69"/>
      <c r="E183" s="885">
        <f>E118/(E13/365)</f>
        <v>30.136457853523723</v>
      </c>
      <c r="F183" s="886">
        <f t="shared" ref="F183:J183" si="81">F118/(F13/365)</f>
        <v>33.080888998630755</v>
      </c>
      <c r="G183" s="886">
        <f t="shared" si="81"/>
        <v>32.474802373241928</v>
      </c>
      <c r="H183" s="886">
        <f t="shared" si="81"/>
        <v>32.280924444940503</v>
      </c>
      <c r="I183" s="886">
        <f t="shared" si="81"/>
        <v>32.205649751246511</v>
      </c>
      <c r="J183" s="886">
        <f t="shared" si="81"/>
        <v>32.172216271676035</v>
      </c>
    </row>
    <row r="184" spans="1:10" x14ac:dyDescent="0.25">
      <c r="A184" s="69" t="s">
        <v>694</v>
      </c>
      <c r="B184" s="69"/>
      <c r="C184" s="69"/>
      <c r="D184" s="69"/>
      <c r="E184" s="885">
        <f>E121/(E12/365)</f>
        <v>10.5019129344736</v>
      </c>
      <c r="F184" s="886">
        <f t="shared" ref="F184:J184" si="82">F121/(F12/365)</f>
        <v>10.17701314351581</v>
      </c>
      <c r="G184" s="886">
        <f t="shared" si="82"/>
        <v>10.026239885659001</v>
      </c>
      <c r="H184" s="886">
        <f t="shared" si="82"/>
        <v>9.9777770527764567</v>
      </c>
      <c r="I184" s="886">
        <f t="shared" si="82"/>
        <v>9.9589303955443569</v>
      </c>
      <c r="J184" s="886">
        <f t="shared" si="82"/>
        <v>9.9505541034412008</v>
      </c>
    </row>
    <row r="185" spans="1:10" x14ac:dyDescent="0.25">
      <c r="A185" s="69" t="s">
        <v>695</v>
      </c>
      <c r="B185" s="69"/>
      <c r="C185" s="69"/>
      <c r="D185" s="69"/>
      <c r="E185" s="885">
        <f>E146/((E13+E14)/365)</f>
        <v>29.473998937169878</v>
      </c>
      <c r="F185" s="886">
        <f t="shared" ref="F185:J185" si="83">F146/((F13+F14)/365)</f>
        <v>24.960537651292231</v>
      </c>
      <c r="G185" s="886">
        <f t="shared" si="83"/>
        <v>26.2709819605513</v>
      </c>
      <c r="H185" s="886">
        <f t="shared" si="83"/>
        <v>26.690960540119448</v>
      </c>
      <c r="I185" s="886">
        <f t="shared" si="83"/>
        <v>26.854123721364068</v>
      </c>
      <c r="J185" s="886">
        <f t="shared" si="83"/>
        <v>26.926611635219235</v>
      </c>
    </row>
  </sheetData>
  <mergeCells count="6">
    <mergeCell ref="A105:D105"/>
    <mergeCell ref="A98:D98"/>
    <mergeCell ref="A86:D86"/>
    <mergeCell ref="A72:D72"/>
    <mergeCell ref="A67:D67"/>
    <mergeCell ref="A44:D44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B36CC-8778-4386-9211-EB4119F046B6}">
  <dimension ref="A2:H55"/>
  <sheetViews>
    <sheetView topLeftCell="A4" zoomScale="80" zoomScaleNormal="80" workbookViewId="0">
      <selection activeCell="E55" sqref="E55"/>
    </sheetView>
  </sheetViews>
  <sheetFormatPr defaultRowHeight="15" x14ac:dyDescent="0.25"/>
  <cols>
    <col min="1" max="1" width="27" style="180" customWidth="1"/>
    <col min="2" max="2" width="13.140625" style="180" customWidth="1"/>
    <col min="3" max="3" width="17.28515625" style="180" customWidth="1"/>
    <col min="4" max="4" width="11.5703125" style="180" customWidth="1"/>
    <col min="5" max="8" width="9.140625" style="180"/>
  </cols>
  <sheetData>
    <row r="2" spans="1:8" x14ac:dyDescent="0.25">
      <c r="A2" s="317" t="s">
        <v>657</v>
      </c>
      <c r="B2" s="158"/>
      <c r="C2" s="188"/>
      <c r="D2" s="189">
        <f>Rozvaha!G29</f>
        <v>7232</v>
      </c>
    </row>
    <row r="4" spans="1:8" x14ac:dyDescent="0.25">
      <c r="A4" s="187" t="s">
        <v>658</v>
      </c>
      <c r="B4" s="186"/>
      <c r="C4" s="186"/>
      <c r="D4" s="186"/>
      <c r="E4" s="186"/>
      <c r="F4" s="186"/>
      <c r="G4" s="186"/>
      <c r="H4" s="186"/>
    </row>
    <row r="5" spans="1:8" s="83" customFormat="1" x14ac:dyDescent="0.25">
      <c r="A5" s="209"/>
      <c r="B5" s="318"/>
      <c r="C5" s="318"/>
      <c r="D5" s="318"/>
      <c r="E5" s="318"/>
      <c r="F5" s="318"/>
      <c r="G5" s="318"/>
      <c r="H5" s="318"/>
    </row>
    <row r="6" spans="1:8" ht="30.75" customHeight="1" x14ac:dyDescent="0.25">
      <c r="A6" s="190" t="s">
        <v>659</v>
      </c>
      <c r="B6" s="191" t="s">
        <v>660</v>
      </c>
      <c r="C6" s="191" t="s">
        <v>661</v>
      </c>
      <c r="D6" s="191" t="s">
        <v>675</v>
      </c>
    </row>
    <row r="7" spans="1:8" x14ac:dyDescent="0.25">
      <c r="B7" s="193">
        <v>42825</v>
      </c>
      <c r="C7" s="194">
        <v>3</v>
      </c>
      <c r="D7" s="195">
        <v>400</v>
      </c>
    </row>
    <row r="8" spans="1:8" x14ac:dyDescent="0.25">
      <c r="B8" s="193">
        <v>42916</v>
      </c>
      <c r="C8" s="194">
        <v>6</v>
      </c>
      <c r="D8" s="195">
        <v>400</v>
      </c>
    </row>
    <row r="9" spans="1:8" x14ac:dyDescent="0.25">
      <c r="B9" s="193">
        <v>43008</v>
      </c>
      <c r="C9" s="194">
        <v>9</v>
      </c>
      <c r="D9" s="195">
        <v>400</v>
      </c>
    </row>
    <row r="10" spans="1:8" x14ac:dyDescent="0.25">
      <c r="B10" s="193">
        <v>43100</v>
      </c>
      <c r="C10" s="194">
        <v>12</v>
      </c>
      <c r="D10" s="195">
        <v>400</v>
      </c>
    </row>
    <row r="11" spans="1:8" x14ac:dyDescent="0.25">
      <c r="B11" s="193">
        <v>43190</v>
      </c>
      <c r="C11" s="194">
        <v>15</v>
      </c>
      <c r="D11" s="195">
        <v>400</v>
      </c>
    </row>
    <row r="12" spans="1:8" x14ac:dyDescent="0.25">
      <c r="B12" s="193">
        <v>43281</v>
      </c>
      <c r="C12" s="194">
        <v>18</v>
      </c>
      <c r="D12" s="195">
        <v>400</v>
      </c>
    </row>
    <row r="13" spans="1:8" x14ac:dyDescent="0.25">
      <c r="B13" s="193">
        <v>43373</v>
      </c>
      <c r="C13" s="194">
        <v>21</v>
      </c>
      <c r="D13" s="195">
        <v>400</v>
      </c>
    </row>
    <row r="14" spans="1:8" x14ac:dyDescent="0.25">
      <c r="B14" s="193">
        <v>43465</v>
      </c>
      <c r="C14" s="194">
        <v>24</v>
      </c>
      <c r="D14" s="195">
        <v>400</v>
      </c>
    </row>
    <row r="15" spans="1:8" x14ac:dyDescent="0.25">
      <c r="B15" s="196" t="s">
        <v>548</v>
      </c>
      <c r="C15" s="196"/>
      <c r="D15" s="197">
        <f>SUM(D7:D14)</f>
        <v>3200</v>
      </c>
    </row>
    <row r="17" spans="1:8" x14ac:dyDescent="0.25">
      <c r="A17" s="198" t="s">
        <v>662</v>
      </c>
      <c r="B17" s="198"/>
      <c r="C17" s="198"/>
      <c r="D17" s="198"/>
      <c r="E17" s="198"/>
      <c r="F17" s="198"/>
      <c r="G17" s="198"/>
      <c r="H17" s="198"/>
    </row>
    <row r="18" spans="1:8" s="83" customFormat="1" x14ac:dyDescent="0.25">
      <c r="A18" s="209"/>
      <c r="B18" s="209"/>
      <c r="C18" s="209"/>
      <c r="D18" s="209"/>
      <c r="E18" s="209"/>
      <c r="F18" s="209"/>
      <c r="G18" s="209"/>
      <c r="H18" s="209"/>
    </row>
    <row r="19" spans="1:8" x14ac:dyDescent="0.25">
      <c r="A19" s="194" t="s">
        <v>663</v>
      </c>
      <c r="B19" s="194"/>
      <c r="C19" s="194"/>
      <c r="D19" s="195">
        <v>5000</v>
      </c>
    </row>
    <row r="20" spans="1:8" x14ac:dyDescent="0.25">
      <c r="A20" s="199" t="s">
        <v>664</v>
      </c>
      <c r="B20" s="199"/>
      <c r="C20" s="199"/>
      <c r="D20" s="200">
        <f>MIN(D19,D2-D15)</f>
        <v>4032</v>
      </c>
    </row>
    <row r="22" spans="1:8" x14ac:dyDescent="0.25">
      <c r="A22" s="187" t="s">
        <v>665</v>
      </c>
      <c r="B22" s="187"/>
      <c r="C22" s="187"/>
      <c r="D22" s="187"/>
      <c r="E22" s="187"/>
      <c r="F22" s="187"/>
      <c r="G22" s="187"/>
      <c r="H22" s="187"/>
    </row>
    <row r="23" spans="1:8" s="83" customFormat="1" x14ac:dyDescent="0.25">
      <c r="A23" s="209"/>
      <c r="B23" s="209"/>
      <c r="C23" s="209"/>
      <c r="D23" s="209"/>
      <c r="E23" s="209"/>
      <c r="F23" s="209"/>
      <c r="G23" s="209"/>
      <c r="H23" s="209"/>
    </row>
    <row r="24" spans="1:8" x14ac:dyDescent="0.25">
      <c r="A24" s="202" t="s">
        <v>666</v>
      </c>
      <c r="B24" s="202"/>
      <c r="C24" s="202"/>
      <c r="D24" s="202">
        <v>10.5</v>
      </c>
    </row>
    <row r="25" spans="1:8" x14ac:dyDescent="0.25">
      <c r="A25" s="202" t="s">
        <v>667</v>
      </c>
      <c r="B25" s="202"/>
      <c r="C25" s="202"/>
      <c r="D25" s="202"/>
    </row>
    <row r="26" spans="1:8" x14ac:dyDescent="0.25">
      <c r="A26" s="202"/>
      <c r="B26" s="202" t="s">
        <v>676</v>
      </c>
      <c r="C26" s="202">
        <f>15-1-1-1.5-1-0+0-1-0</f>
        <v>9.5</v>
      </c>
      <c r="D26" s="202"/>
    </row>
    <row r="27" spans="1:8" x14ac:dyDescent="0.25">
      <c r="A27" s="202"/>
      <c r="B27" s="202" t="s">
        <v>677</v>
      </c>
      <c r="C27" s="202">
        <f>15-0.5-0.5-0.7-0.5-0+0-0.5-0</f>
        <v>12.3</v>
      </c>
      <c r="D27" s="202"/>
    </row>
    <row r="28" spans="1:8" x14ac:dyDescent="0.25">
      <c r="A28" s="202"/>
      <c r="B28" s="202" t="s">
        <v>668</v>
      </c>
      <c r="C28" s="202">
        <v>1</v>
      </c>
      <c r="D28" s="202"/>
    </row>
    <row r="29" spans="1:8" x14ac:dyDescent="0.25">
      <c r="A29" s="201" t="s">
        <v>659</v>
      </c>
      <c r="B29" s="203"/>
      <c r="C29" s="203"/>
      <c r="D29" s="203"/>
    </row>
    <row r="30" spans="1:8" x14ac:dyDescent="0.25">
      <c r="A30" s="202" t="s">
        <v>669</v>
      </c>
      <c r="B30" s="202"/>
      <c r="C30" s="202"/>
      <c r="D30" s="202">
        <f>C26*C28</f>
        <v>9.5</v>
      </c>
    </row>
    <row r="31" spans="1:8" x14ac:dyDescent="0.25">
      <c r="A31" s="204" t="s">
        <v>670</v>
      </c>
      <c r="B31" s="204"/>
      <c r="C31" s="204"/>
      <c r="D31" s="205">
        <f>D24+D30</f>
        <v>20</v>
      </c>
    </row>
    <row r="32" spans="1:8" x14ac:dyDescent="0.25">
      <c r="A32" s="201" t="s">
        <v>671</v>
      </c>
      <c r="B32" s="203"/>
      <c r="C32" s="203"/>
      <c r="D32" s="203"/>
    </row>
    <row r="33" spans="1:8" x14ac:dyDescent="0.25">
      <c r="A33" s="202" t="s">
        <v>669</v>
      </c>
      <c r="B33" s="202"/>
      <c r="C33" s="202"/>
      <c r="D33" s="202">
        <f>C27*C28</f>
        <v>12.3</v>
      </c>
    </row>
    <row r="34" spans="1:8" x14ac:dyDescent="0.25">
      <c r="A34" s="204" t="s">
        <v>670</v>
      </c>
      <c r="B34" s="204"/>
      <c r="C34" s="204"/>
      <c r="D34" s="204">
        <f>D24+D33</f>
        <v>22.8</v>
      </c>
    </row>
    <row r="36" spans="1:8" x14ac:dyDescent="0.25">
      <c r="A36" s="187" t="s">
        <v>672</v>
      </c>
      <c r="B36" s="187"/>
      <c r="C36" s="187"/>
      <c r="D36" s="187"/>
      <c r="E36" s="187"/>
      <c r="F36" s="187"/>
      <c r="G36" s="187"/>
      <c r="H36" s="187"/>
    </row>
    <row r="37" spans="1:8" s="83" customFormat="1" x14ac:dyDescent="0.25">
      <c r="A37" s="209"/>
      <c r="B37" s="209"/>
      <c r="C37" s="209"/>
      <c r="D37" s="209"/>
      <c r="E37" s="209"/>
      <c r="F37" s="209"/>
      <c r="G37" s="209"/>
      <c r="H37" s="209"/>
    </row>
    <row r="38" spans="1:8" ht="41.25" customHeight="1" x14ac:dyDescent="0.25">
      <c r="A38" s="190" t="s">
        <v>659</v>
      </c>
      <c r="B38" s="191" t="s">
        <v>660</v>
      </c>
      <c r="C38" s="191" t="s">
        <v>661</v>
      </c>
      <c r="D38" s="191" t="s">
        <v>675</v>
      </c>
      <c r="E38" s="191" t="s">
        <v>673</v>
      </c>
    </row>
    <row r="39" spans="1:8" x14ac:dyDescent="0.25">
      <c r="B39" s="193">
        <f t="shared" ref="B39:B46" si="0">B7</f>
        <v>42825</v>
      </c>
      <c r="C39" s="194">
        <v>3</v>
      </c>
      <c r="D39" s="195">
        <v>400</v>
      </c>
      <c r="E39" s="195">
        <f>D39/(1+$D$31/100)^(C39/12)</f>
        <v>382.17711688174671</v>
      </c>
    </row>
    <row r="40" spans="1:8" x14ac:dyDescent="0.25">
      <c r="B40" s="193">
        <f t="shared" si="0"/>
        <v>42916</v>
      </c>
      <c r="C40" s="194">
        <v>6</v>
      </c>
      <c r="D40" s="195">
        <v>400</v>
      </c>
      <c r="E40" s="195">
        <f t="shared" ref="E40:E46" si="1">D40/(1+$D$31/100)^(C40/12)</f>
        <v>365.14837167011075</v>
      </c>
    </row>
    <row r="41" spans="1:8" x14ac:dyDescent="0.25">
      <c r="B41" s="193">
        <f t="shared" si="0"/>
        <v>43008</v>
      </c>
      <c r="C41" s="194">
        <v>9</v>
      </c>
      <c r="D41" s="195">
        <v>400</v>
      </c>
      <c r="E41" s="195">
        <f t="shared" si="1"/>
        <v>348.87837979736855</v>
      </c>
    </row>
    <row r="42" spans="1:8" x14ac:dyDescent="0.25">
      <c r="B42" s="193">
        <f t="shared" si="0"/>
        <v>43100</v>
      </c>
      <c r="C42" s="194">
        <v>12</v>
      </c>
      <c r="D42" s="195">
        <v>400</v>
      </c>
      <c r="E42" s="195">
        <f t="shared" si="1"/>
        <v>333.33333333333337</v>
      </c>
    </row>
    <row r="43" spans="1:8" x14ac:dyDescent="0.25">
      <c r="B43" s="193">
        <f t="shared" si="0"/>
        <v>43190</v>
      </c>
      <c r="C43" s="194">
        <v>15</v>
      </c>
      <c r="D43" s="195">
        <v>400</v>
      </c>
      <c r="E43" s="195">
        <f t="shared" si="1"/>
        <v>318.48093073478896</v>
      </c>
    </row>
    <row r="44" spans="1:8" x14ac:dyDescent="0.25">
      <c r="B44" s="193">
        <f t="shared" si="0"/>
        <v>43281</v>
      </c>
      <c r="C44" s="194">
        <v>18</v>
      </c>
      <c r="D44" s="195">
        <v>400</v>
      </c>
      <c r="E44" s="195">
        <f t="shared" si="1"/>
        <v>304.2903097250923</v>
      </c>
    </row>
    <row r="45" spans="1:8" x14ac:dyDescent="0.25">
      <c r="B45" s="193">
        <f t="shared" si="0"/>
        <v>43373</v>
      </c>
      <c r="C45" s="194">
        <v>21</v>
      </c>
      <c r="D45" s="195">
        <v>400</v>
      </c>
      <c r="E45" s="195">
        <f t="shared" si="1"/>
        <v>290.73198316447377</v>
      </c>
    </row>
    <row r="46" spans="1:8" x14ac:dyDescent="0.25">
      <c r="B46" s="193">
        <f t="shared" si="0"/>
        <v>43465</v>
      </c>
      <c r="C46" s="194">
        <v>24</v>
      </c>
      <c r="D46" s="195">
        <v>400</v>
      </c>
      <c r="E46" s="195">
        <f t="shared" si="1"/>
        <v>277.77777777777777</v>
      </c>
    </row>
    <row r="47" spans="1:8" x14ac:dyDescent="0.25">
      <c r="B47" s="206" t="s">
        <v>548</v>
      </c>
      <c r="C47" s="206"/>
      <c r="D47" s="207">
        <f>SUM(D39:D46)</f>
        <v>3200</v>
      </c>
      <c r="E47" s="207">
        <f>SUM(E39:E46)</f>
        <v>2620.818203084692</v>
      </c>
    </row>
    <row r="49" spans="1:8" x14ac:dyDescent="0.25">
      <c r="A49" s="190" t="s">
        <v>671</v>
      </c>
      <c r="B49" s="190"/>
      <c r="C49" s="190"/>
      <c r="D49" s="190"/>
      <c r="E49" s="190"/>
      <c r="F49" s="190"/>
      <c r="G49" s="190"/>
      <c r="H49" s="190"/>
    </row>
    <row r="50" spans="1:8" x14ac:dyDescent="0.25">
      <c r="A50" s="524" t="s">
        <v>979</v>
      </c>
      <c r="E50" s="180">
        <f>C46+12</f>
        <v>36</v>
      </c>
    </row>
    <row r="51" spans="1:8" x14ac:dyDescent="0.25">
      <c r="E51" s="192">
        <f>D20/(1+D34/100)^(E50/12)</f>
        <v>2177.335848490327</v>
      </c>
    </row>
    <row r="52" spans="1:8" x14ac:dyDescent="0.25">
      <c r="E52" s="208"/>
    </row>
    <row r="53" spans="1:8" x14ac:dyDescent="0.25">
      <c r="A53" s="187" t="s">
        <v>674</v>
      </c>
      <c r="B53" s="187"/>
      <c r="C53" s="187"/>
      <c r="D53" s="187"/>
      <c r="E53" s="187"/>
      <c r="F53" s="187"/>
      <c r="G53" s="187"/>
      <c r="H53" s="187"/>
    </row>
    <row r="55" spans="1:8" x14ac:dyDescent="0.25">
      <c r="E55" s="209">
        <f>ROUND(E47+E51,0)</f>
        <v>4798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3228F-E947-4050-A90B-156D2636D44A}">
  <dimension ref="A2:H55"/>
  <sheetViews>
    <sheetView topLeftCell="A46" workbookViewId="0">
      <selection activeCell="H23" sqref="H23:H32"/>
    </sheetView>
  </sheetViews>
  <sheetFormatPr defaultRowHeight="15" x14ac:dyDescent="0.25"/>
  <sheetData>
    <row r="2" spans="1:7" x14ac:dyDescent="0.25">
      <c r="A2" s="223" t="s">
        <v>838</v>
      </c>
      <c r="B2" s="223"/>
      <c r="C2" s="223"/>
      <c r="D2" s="223"/>
      <c r="E2" s="223"/>
      <c r="F2" s="223"/>
      <c r="G2" s="223"/>
    </row>
    <row r="4" spans="1:7" x14ac:dyDescent="0.25">
      <c r="A4" s="222" t="s">
        <v>839</v>
      </c>
      <c r="B4" s="222"/>
      <c r="C4" s="222"/>
      <c r="D4" s="222"/>
      <c r="E4" s="195">
        <f>Rozvaha!G27</f>
        <v>1274</v>
      </c>
    </row>
    <row r="6" spans="1:7" x14ac:dyDescent="0.25">
      <c r="A6" s="222" t="s">
        <v>840</v>
      </c>
      <c r="B6" s="222"/>
      <c r="C6" s="222"/>
      <c r="D6" s="222"/>
      <c r="E6" s="195">
        <v>7</v>
      </c>
    </row>
    <row r="7" spans="1:7" x14ac:dyDescent="0.25">
      <c r="A7" s="222" t="s">
        <v>841</v>
      </c>
      <c r="B7" s="222"/>
      <c r="C7" s="222"/>
      <c r="D7" s="222"/>
      <c r="E7" s="351">
        <f>VZZ!G44</f>
        <v>64</v>
      </c>
    </row>
    <row r="8" spans="1:7" x14ac:dyDescent="0.25">
      <c r="A8" s="222" t="s">
        <v>842</v>
      </c>
      <c r="B8" s="222"/>
      <c r="C8" s="222"/>
      <c r="D8" s="222"/>
      <c r="E8" s="351">
        <f>E7*(1-E10)</f>
        <v>51.84</v>
      </c>
    </row>
    <row r="9" spans="1:7" x14ac:dyDescent="0.25">
      <c r="A9" s="222" t="s">
        <v>843</v>
      </c>
      <c r="B9" s="222"/>
      <c r="C9" s="222"/>
      <c r="D9" s="222"/>
      <c r="E9" s="350">
        <v>7.0000000000000007E-2</v>
      </c>
    </row>
    <row r="10" spans="1:7" x14ac:dyDescent="0.25">
      <c r="A10" s="348" t="s">
        <v>844</v>
      </c>
      <c r="E10" s="349">
        <v>0.19</v>
      </c>
    </row>
    <row r="12" spans="1:7" x14ac:dyDescent="0.25">
      <c r="A12" s="223" t="s">
        <v>845</v>
      </c>
      <c r="B12" s="223"/>
      <c r="C12" s="223"/>
      <c r="D12" s="223"/>
      <c r="E12" s="223"/>
      <c r="F12" s="223"/>
      <c r="G12" s="223"/>
    </row>
    <row r="13" spans="1:7" x14ac:dyDescent="0.25">
      <c r="A13" s="347"/>
    </row>
    <row r="14" spans="1:7" x14ac:dyDescent="0.25">
      <c r="A14" s="222" t="s">
        <v>846</v>
      </c>
      <c r="B14" s="222"/>
      <c r="C14" s="222"/>
      <c r="D14" s="222"/>
      <c r="E14" s="352">
        <f>(1-1/(1+E9)^E6)/E9</f>
        <v>5.3892894016486981</v>
      </c>
    </row>
    <row r="15" spans="1:7" x14ac:dyDescent="0.25">
      <c r="A15" s="222" t="s">
        <v>847</v>
      </c>
      <c r="B15" s="222"/>
      <c r="C15" s="222"/>
      <c r="D15" s="222"/>
      <c r="E15" s="195">
        <f>E14*E8</f>
        <v>279.3807625814685</v>
      </c>
    </row>
    <row r="16" spans="1:7" x14ac:dyDescent="0.25">
      <c r="A16" s="222" t="s">
        <v>848</v>
      </c>
      <c r="B16" s="222"/>
      <c r="C16" s="222"/>
      <c r="D16" s="222"/>
      <c r="E16" s="195">
        <f>E4/(1+E9)^E6</f>
        <v>793.38317116096903</v>
      </c>
    </row>
    <row r="17" spans="1:8" x14ac:dyDescent="0.25">
      <c r="A17" s="181" t="s">
        <v>849</v>
      </c>
      <c r="B17" s="181"/>
      <c r="C17" s="181"/>
      <c r="D17" s="181"/>
      <c r="E17" s="353">
        <f>ROUND(E15+E16,0)</f>
        <v>1073</v>
      </c>
    </row>
    <row r="21" spans="1:8" x14ac:dyDescent="0.25">
      <c r="A21" s="178" t="s">
        <v>1152</v>
      </c>
      <c r="B21" s="178"/>
      <c r="C21" s="178"/>
      <c r="D21" s="178"/>
      <c r="E21" s="178"/>
      <c r="F21" s="178"/>
      <c r="G21" s="178"/>
      <c r="H21" s="178"/>
    </row>
    <row r="22" spans="1:8" x14ac:dyDescent="0.25">
      <c r="A22" s="289" t="s">
        <v>307</v>
      </c>
      <c r="B22" s="289"/>
      <c r="C22" s="289"/>
      <c r="D22" s="290">
        <v>1</v>
      </c>
      <c r="E22" s="290">
        <v>2</v>
      </c>
      <c r="F22" s="290">
        <v>3</v>
      </c>
      <c r="G22" s="290">
        <v>4</v>
      </c>
    </row>
    <row r="23" spans="1:8" x14ac:dyDescent="0.25">
      <c r="A23" s="295" t="s">
        <v>1150</v>
      </c>
      <c r="B23" s="295"/>
      <c r="C23" s="295"/>
      <c r="D23" s="296">
        <v>60</v>
      </c>
      <c r="E23" s="296">
        <v>60</v>
      </c>
      <c r="F23" s="296">
        <v>60</v>
      </c>
      <c r="G23" s="296">
        <v>1060</v>
      </c>
      <c r="H23" s="575"/>
    </row>
    <row r="24" spans="1:8" x14ac:dyDescent="0.25">
      <c r="A24" s="295" t="s">
        <v>1151</v>
      </c>
      <c r="B24" s="295"/>
      <c r="C24" s="295"/>
      <c r="D24" s="219">
        <v>6.5000000000000002E-2</v>
      </c>
      <c r="E24" s="219">
        <v>9.5000000000000001E-2</v>
      </c>
      <c r="F24" s="219">
        <v>0.12</v>
      </c>
      <c r="G24" s="219">
        <v>0.16</v>
      </c>
      <c r="H24" s="576"/>
    </row>
    <row r="25" spans="1:8" x14ac:dyDescent="0.25">
      <c r="A25" s="295" t="s">
        <v>1161</v>
      </c>
      <c r="B25" s="295"/>
      <c r="C25" s="295"/>
      <c r="D25" s="296">
        <f>D23/(1+D24)</f>
        <v>56.338028169014088</v>
      </c>
      <c r="E25" s="296">
        <f>E23/(1+E24)^2</f>
        <v>50.040658034653156</v>
      </c>
      <c r="F25" s="296">
        <f>F23/(1+F24)^3</f>
        <v>42.706814868804649</v>
      </c>
      <c r="G25" s="296">
        <f>G23/(1+G24)^4</f>
        <v>585.42856375330325</v>
      </c>
      <c r="H25" s="577"/>
    </row>
    <row r="26" spans="1:8" x14ac:dyDescent="0.25">
      <c r="A26" s="289" t="s">
        <v>1158</v>
      </c>
      <c r="B26" s="289"/>
      <c r="C26" s="289"/>
      <c r="D26" s="297">
        <f>SUM(D25:G25)</f>
        <v>734.51406482577511</v>
      </c>
      <c r="E26" s="297"/>
      <c r="F26" s="297"/>
      <c r="G26" s="298"/>
      <c r="H26" s="577"/>
    </row>
    <row r="27" spans="1:8" x14ac:dyDescent="0.25">
      <c r="H27" s="577"/>
    </row>
    <row r="28" spans="1:8" x14ac:dyDescent="0.25">
      <c r="H28" s="577"/>
    </row>
    <row r="29" spans="1:8" x14ac:dyDescent="0.25">
      <c r="A29" s="178" t="s">
        <v>1153</v>
      </c>
      <c r="H29" s="577"/>
    </row>
    <row r="30" spans="1:8" x14ac:dyDescent="0.25">
      <c r="A30" s="295"/>
      <c r="B30" s="295"/>
      <c r="C30" s="295">
        <v>-735</v>
      </c>
      <c r="D30" s="296">
        <v>60</v>
      </c>
      <c r="E30" s="296">
        <v>60</v>
      </c>
      <c r="F30" s="296">
        <v>60</v>
      </c>
      <c r="G30" s="296">
        <v>1060</v>
      </c>
      <c r="H30" s="577"/>
    </row>
    <row r="31" spans="1:8" x14ac:dyDescent="0.25">
      <c r="A31" s="221" t="s">
        <v>1159</v>
      </c>
      <c r="B31" s="221"/>
      <c r="C31" s="888">
        <v>0.1537</v>
      </c>
      <c r="D31" s="570"/>
      <c r="E31" s="570"/>
      <c r="F31" s="570"/>
      <c r="G31" s="570"/>
      <c r="H31" s="578"/>
    </row>
    <row r="32" spans="1:8" x14ac:dyDescent="0.25">
      <c r="A32" s="289" t="s">
        <v>1160</v>
      </c>
      <c r="B32" s="289"/>
      <c r="C32" s="289">
        <v>735</v>
      </c>
      <c r="D32" s="571"/>
      <c r="E32" s="297"/>
      <c r="F32" s="297"/>
      <c r="G32" s="298"/>
    </row>
    <row r="35" spans="1:7" x14ac:dyDescent="0.25">
      <c r="A35" s="178" t="s">
        <v>1154</v>
      </c>
    </row>
    <row r="36" spans="1:7" x14ac:dyDescent="0.25">
      <c r="A36" s="289" t="s">
        <v>307</v>
      </c>
      <c r="B36" s="289"/>
      <c r="C36" s="289"/>
      <c r="D36" s="290">
        <v>1</v>
      </c>
      <c r="E36" s="290">
        <v>2</v>
      </c>
      <c r="F36" s="290">
        <v>3</v>
      </c>
      <c r="G36" s="290">
        <v>4</v>
      </c>
    </row>
    <row r="37" spans="1:7" x14ac:dyDescent="0.25">
      <c r="A37" s="295" t="s">
        <v>1155</v>
      </c>
      <c r="B37" s="295"/>
      <c r="C37" s="295"/>
      <c r="D37" s="296">
        <v>200</v>
      </c>
      <c r="E37" s="296">
        <v>400</v>
      </c>
      <c r="F37" s="296">
        <v>450</v>
      </c>
      <c r="G37" s="296">
        <v>800</v>
      </c>
    </row>
    <row r="38" spans="1:7" x14ac:dyDescent="0.25">
      <c r="A38" s="295" t="s">
        <v>1156</v>
      </c>
      <c r="B38" s="295"/>
      <c r="C38" s="295"/>
      <c r="D38" s="572">
        <f>$C$12</f>
        <v>0</v>
      </c>
      <c r="E38" s="572">
        <f t="shared" ref="E38:G38" si="0">$C$12</f>
        <v>0</v>
      </c>
      <c r="F38" s="572">
        <f t="shared" si="0"/>
        <v>0</v>
      </c>
      <c r="G38" s="572">
        <f t="shared" si="0"/>
        <v>0</v>
      </c>
    </row>
    <row r="39" spans="1:7" x14ac:dyDescent="0.25">
      <c r="A39" s="295" t="s">
        <v>1157</v>
      </c>
      <c r="B39" s="295"/>
      <c r="C39" s="295"/>
      <c r="D39" s="296">
        <f>D37/(1+D38)</f>
        <v>200</v>
      </c>
      <c r="E39" s="296">
        <f>E37/(1+E38)^2</f>
        <v>400</v>
      </c>
      <c r="F39" s="296">
        <f>F37/(1+F38)^3</f>
        <v>450</v>
      </c>
      <c r="G39" s="296">
        <f>G37/(1+G38)^4</f>
        <v>800</v>
      </c>
    </row>
    <row r="40" spans="1:7" x14ac:dyDescent="0.25">
      <c r="A40" s="289" t="s">
        <v>1158</v>
      </c>
      <c r="B40" s="289"/>
      <c r="C40" s="289"/>
      <c r="D40" s="297">
        <f>SUM(D39:G39)</f>
        <v>1850</v>
      </c>
      <c r="E40" s="297"/>
      <c r="F40" s="297"/>
      <c r="G40" s="298"/>
    </row>
    <row r="43" spans="1:7" x14ac:dyDescent="0.25">
      <c r="A43" s="178" t="s">
        <v>1162</v>
      </c>
      <c r="B43" s="178"/>
      <c r="C43" s="178"/>
      <c r="D43" s="178"/>
      <c r="E43" s="178"/>
      <c r="F43" s="178"/>
      <c r="G43" s="178"/>
    </row>
    <row r="44" spans="1:7" x14ac:dyDescent="0.25">
      <c r="A44" s="289" t="s">
        <v>307</v>
      </c>
      <c r="B44" s="289"/>
      <c r="C44" s="289"/>
      <c r="D44" s="290">
        <v>1</v>
      </c>
      <c r="E44" s="290">
        <v>2</v>
      </c>
      <c r="F44" s="290">
        <v>3</v>
      </c>
      <c r="G44" s="290">
        <v>4</v>
      </c>
    </row>
    <row r="45" spans="1:7" x14ac:dyDescent="0.25">
      <c r="A45" s="295" t="s">
        <v>1155</v>
      </c>
      <c r="B45" s="295"/>
      <c r="C45" s="295"/>
      <c r="D45" s="296">
        <v>200</v>
      </c>
      <c r="E45" s="296">
        <v>400</v>
      </c>
      <c r="F45" s="296">
        <v>450</v>
      </c>
      <c r="G45" s="296">
        <v>800</v>
      </c>
    </row>
    <row r="46" spans="1:7" x14ac:dyDescent="0.25">
      <c r="A46" s="295" t="s">
        <v>1151</v>
      </c>
      <c r="B46" s="295"/>
      <c r="C46" s="295"/>
      <c r="D46" s="219">
        <v>6.5000000000000002E-2</v>
      </c>
      <c r="E46" s="219">
        <v>9.5000000000000001E-2</v>
      </c>
      <c r="F46" s="219">
        <v>0.12</v>
      </c>
      <c r="G46" s="219">
        <v>0.16</v>
      </c>
    </row>
    <row r="47" spans="1:7" x14ac:dyDescent="0.25">
      <c r="A47" s="295" t="s">
        <v>1157</v>
      </c>
      <c r="B47" s="295"/>
      <c r="C47" s="295"/>
      <c r="D47" s="296">
        <f>D45/(1+D46)</f>
        <v>187.79342723004694</v>
      </c>
      <c r="E47" s="296">
        <f>E45/(1+E46)^2</f>
        <v>333.60438689768768</v>
      </c>
      <c r="F47" s="296">
        <f>F45/(1+F46)^3</f>
        <v>320.30111151603489</v>
      </c>
      <c r="G47" s="296">
        <f>G45/(1+G46)^4</f>
        <v>441.83287830437979</v>
      </c>
    </row>
    <row r="48" spans="1:7" x14ac:dyDescent="0.25">
      <c r="A48" s="289" t="s">
        <v>1158</v>
      </c>
      <c r="B48" s="289"/>
      <c r="C48" s="289"/>
      <c r="D48" s="297">
        <f>SUM(D47:G47)</f>
        <v>1283.5318039481492</v>
      </c>
      <c r="E48" s="297"/>
      <c r="F48" s="297"/>
      <c r="G48" s="298"/>
    </row>
    <row r="51" spans="1:7" x14ac:dyDescent="0.25">
      <c r="A51" s="178" t="s">
        <v>1163</v>
      </c>
    </row>
    <row r="52" spans="1:7" x14ac:dyDescent="0.25">
      <c r="A52" s="295"/>
      <c r="B52" s="295"/>
      <c r="C52" s="295">
        <v>-1284</v>
      </c>
      <c r="D52" s="296">
        <v>200</v>
      </c>
      <c r="E52" s="296">
        <v>400</v>
      </c>
      <c r="F52" s="296">
        <v>450</v>
      </c>
      <c r="G52" s="296">
        <v>800</v>
      </c>
    </row>
    <row r="53" spans="1:7" x14ac:dyDescent="0.25">
      <c r="A53" s="221" t="s">
        <v>1159</v>
      </c>
      <c r="B53" s="221"/>
      <c r="C53" s="888">
        <v>0.1328</v>
      </c>
      <c r="D53" s="570"/>
      <c r="E53" s="570"/>
      <c r="F53" s="570"/>
      <c r="G53" s="570"/>
    </row>
    <row r="54" spans="1:7" x14ac:dyDescent="0.25">
      <c r="A54" s="574" t="s">
        <v>1157</v>
      </c>
      <c r="B54" s="573"/>
      <c r="C54" s="889"/>
      <c r="D54" s="296">
        <f>D52/(1+$C$53)</f>
        <v>176.55367231638417</v>
      </c>
      <c r="E54" s="296">
        <f>E52/(1+$C$53)^2</f>
        <v>311.71199208401157</v>
      </c>
      <c r="F54" s="296">
        <f>F52/(1+$C$53)^3</f>
        <v>309.56567010461953</v>
      </c>
      <c r="G54" s="296">
        <f>G52/(1+$C$53)^4</f>
        <v>485.82183004491446</v>
      </c>
    </row>
    <row r="55" spans="1:7" x14ac:dyDescent="0.25">
      <c r="A55" s="289" t="s">
        <v>1160</v>
      </c>
      <c r="B55" s="289"/>
      <c r="C55" s="297">
        <f>SUM(D54:G54)</f>
        <v>1283.6531645499299</v>
      </c>
      <c r="D55" s="571"/>
      <c r="E55" s="297"/>
      <c r="F55" s="297"/>
      <c r="G55" s="298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10A10-A81A-4F1E-88CF-C950DB7D3E80}">
  <dimension ref="A2:X193"/>
  <sheetViews>
    <sheetView topLeftCell="A34" zoomScaleNormal="100" workbookViewId="0">
      <selection activeCell="A2" sqref="A2"/>
    </sheetView>
  </sheetViews>
  <sheetFormatPr defaultRowHeight="12.75" x14ac:dyDescent="0.2"/>
  <cols>
    <col min="1" max="1" width="10.85546875" style="367" customWidth="1"/>
    <col min="2" max="2" width="13.42578125" style="367" customWidth="1"/>
    <col min="3" max="3" width="9.85546875" style="367" customWidth="1"/>
    <col min="4" max="4" width="9.5703125" style="367" customWidth="1"/>
    <col min="5" max="5" width="3.28515625" style="367" customWidth="1"/>
    <col min="6" max="6" width="16.42578125" style="367" customWidth="1"/>
    <col min="7" max="7" width="11.42578125" style="367" customWidth="1"/>
    <col min="8" max="8" width="12.140625" style="367" customWidth="1"/>
    <col min="9" max="9" width="9.140625" style="367" customWidth="1"/>
    <col min="10" max="10" width="3.140625" style="390" customWidth="1"/>
    <col min="11" max="11" width="8.7109375" style="367" customWidth="1"/>
    <col min="12" max="12" width="7.5703125" style="367" customWidth="1"/>
    <col min="13" max="13" width="14.140625" style="367" customWidth="1"/>
    <col min="14" max="14" width="6.5703125" style="367" customWidth="1"/>
    <col min="15" max="15" width="13.85546875" style="367" customWidth="1"/>
    <col min="16" max="16" width="6.5703125" style="367" customWidth="1"/>
    <col min="17" max="17" width="3.85546875" style="390" customWidth="1"/>
    <col min="18" max="18" width="12.7109375" style="367" customWidth="1"/>
    <col min="19" max="19" width="8.140625" style="367" customWidth="1"/>
    <col min="20" max="20" width="12" style="367" customWidth="1"/>
    <col min="21" max="21" width="10" style="367" customWidth="1"/>
    <col min="22" max="22" width="8.140625" style="367" customWidth="1"/>
    <col min="23" max="23" width="5.7109375" style="367" customWidth="1"/>
    <col min="24" max="16384" width="9.140625" style="367"/>
  </cols>
  <sheetData>
    <row r="2" spans="1:24" ht="15" customHeight="1" x14ac:dyDescent="0.25">
      <c r="A2" s="223" t="s">
        <v>883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</row>
    <row r="3" spans="1:24" ht="15" customHeight="1" x14ac:dyDescent="0.2">
      <c r="A3" s="366"/>
      <c r="U3" s="383"/>
      <c r="V3" s="383"/>
    </row>
    <row r="4" spans="1:24" ht="15" customHeight="1" x14ac:dyDescent="0.2">
      <c r="A4" s="792" t="s">
        <v>884</v>
      </c>
      <c r="B4" s="792"/>
      <c r="C4" s="792"/>
      <c r="D4" s="792"/>
      <c r="E4" s="368"/>
      <c r="F4" s="792" t="s">
        <v>885</v>
      </c>
      <c r="G4" s="792"/>
      <c r="H4" s="792"/>
      <c r="I4" s="792"/>
      <c r="J4" s="391"/>
      <c r="K4" s="792" t="s">
        <v>886</v>
      </c>
      <c r="L4" s="792"/>
      <c r="M4" s="792"/>
      <c r="N4" s="792"/>
      <c r="O4" s="792"/>
      <c r="P4" s="792"/>
      <c r="Q4" s="391"/>
      <c r="R4" s="792" t="s">
        <v>887</v>
      </c>
      <c r="S4" s="792"/>
      <c r="T4" s="792" t="s">
        <v>888</v>
      </c>
      <c r="U4" s="792"/>
      <c r="V4" s="792"/>
    </row>
    <row r="5" spans="1:24" ht="27" customHeight="1" x14ac:dyDescent="0.2">
      <c r="A5" s="254" t="s">
        <v>307</v>
      </c>
      <c r="B5" s="254" t="s">
        <v>889</v>
      </c>
      <c r="C5" s="254" t="s">
        <v>890</v>
      </c>
      <c r="D5" s="254" t="s">
        <v>891</v>
      </c>
      <c r="E5" s="369"/>
      <c r="F5" s="254" t="s">
        <v>892</v>
      </c>
      <c r="G5" s="254" t="s">
        <v>893</v>
      </c>
      <c r="H5" s="254" t="s">
        <v>894</v>
      </c>
      <c r="I5" s="254" t="s">
        <v>890</v>
      </c>
      <c r="J5" s="391"/>
      <c r="K5" s="254" t="s">
        <v>895</v>
      </c>
      <c r="L5" s="254" t="s">
        <v>890</v>
      </c>
      <c r="M5" s="254" t="s">
        <v>896</v>
      </c>
      <c r="N5" s="254" t="s">
        <v>890</v>
      </c>
      <c r="O5" s="254" t="s">
        <v>897</v>
      </c>
      <c r="P5" s="254" t="s">
        <v>890</v>
      </c>
      <c r="Q5" s="391"/>
      <c r="R5" s="254" t="s">
        <v>898</v>
      </c>
      <c r="S5" s="254" t="s">
        <v>890</v>
      </c>
      <c r="T5" s="254" t="s">
        <v>899</v>
      </c>
      <c r="U5" s="254" t="s">
        <v>914</v>
      </c>
      <c r="V5" s="254" t="s">
        <v>890</v>
      </c>
    </row>
    <row r="6" spans="1:24" x14ac:dyDescent="0.2">
      <c r="A6" s="385">
        <v>1995</v>
      </c>
      <c r="B6" s="386">
        <v>769.5</v>
      </c>
      <c r="C6" s="387"/>
      <c r="D6" s="388">
        <v>1.091</v>
      </c>
      <c r="E6" s="370"/>
      <c r="F6" s="401">
        <v>19865</v>
      </c>
      <c r="G6" s="401">
        <v>10330759</v>
      </c>
      <c r="H6" s="402">
        <f>F6*G6/1000000000</f>
        <v>205.220527535</v>
      </c>
      <c r="I6" s="403"/>
      <c r="J6" s="400"/>
      <c r="K6" s="406">
        <f t="shared" ref="K6:K32" si="0">$B$109+$B$110*(A6-A$6+1)</f>
        <v>219.48657843696967</v>
      </c>
      <c r="L6" s="387"/>
      <c r="M6" s="407">
        <f t="shared" ref="M6:M32" si="1">EXP($B$150+$B$151*B6)</f>
        <v>217.34732925947642</v>
      </c>
      <c r="N6" s="387"/>
      <c r="O6" s="407">
        <f t="shared" ref="O6:O32" si="2">$B$192+$B$193*B6</f>
        <v>206.86731451270052</v>
      </c>
      <c r="P6" s="387"/>
      <c r="Q6" s="394"/>
      <c r="R6" s="401">
        <f>H6*1000</f>
        <v>205220.527535</v>
      </c>
      <c r="S6" s="387"/>
      <c r="T6" s="408">
        <v>6.0699999999999997E-2</v>
      </c>
      <c r="U6" s="404">
        <f>R6*T6</f>
        <v>12456.886021374499</v>
      </c>
      <c r="V6" s="409"/>
      <c r="X6" s="370"/>
    </row>
    <row r="7" spans="1:24" x14ac:dyDescent="0.2">
      <c r="A7" s="385">
        <v>1996</v>
      </c>
      <c r="B7" s="386">
        <v>892</v>
      </c>
      <c r="C7" s="441">
        <f t="shared" ref="C7:C32" si="3">B7/B6-1</f>
        <v>0.15919428200129948</v>
      </c>
      <c r="D7" s="388">
        <v>1.0880000000000001</v>
      </c>
      <c r="E7" s="370"/>
      <c r="F7" s="401">
        <v>22568</v>
      </c>
      <c r="G7" s="401">
        <v>10315353</v>
      </c>
      <c r="H7" s="402">
        <f t="shared" ref="H7:H26" si="4">F7*G7/1000000000</f>
        <v>232.79688650400001</v>
      </c>
      <c r="I7" s="389">
        <f t="shared" ref="I7:I26" si="5">H7/H6-1</f>
        <v>0.13437427191242812</v>
      </c>
      <c r="J7" s="392"/>
      <c r="K7" s="406">
        <f t="shared" si="0"/>
        <v>229.11681429306319</v>
      </c>
      <c r="L7" s="441">
        <f>K7/K6-1</f>
        <v>4.3876194729870699E-2</v>
      </c>
      <c r="M7" s="407">
        <f t="shared" si="1"/>
        <v>230.07758914852243</v>
      </c>
      <c r="N7" s="441">
        <f>M7/M6-1</f>
        <v>5.85710435569613E-2</v>
      </c>
      <c r="O7" s="407">
        <f t="shared" si="2"/>
        <v>224.31259576208183</v>
      </c>
      <c r="P7" s="441">
        <f>O7/O6-1</f>
        <v>8.4330776422924192E-2</v>
      </c>
      <c r="Q7" s="392"/>
      <c r="R7" s="401">
        <f t="shared" ref="R7:R26" si="6">H7*1000</f>
        <v>232796.88650400002</v>
      </c>
      <c r="S7" s="441">
        <f>R7/R6-1</f>
        <v>0.13437427191242812</v>
      </c>
      <c r="T7" s="408">
        <v>6.0699999999999997E-2</v>
      </c>
      <c r="U7" s="404">
        <f t="shared" ref="U7:U32" si="7">R7*T7</f>
        <v>14130.771010792801</v>
      </c>
      <c r="V7" s="442">
        <f>U7/U6-1</f>
        <v>0.13437427191242812</v>
      </c>
    </row>
    <row r="8" spans="1:24" x14ac:dyDescent="0.2">
      <c r="A8" s="385">
        <v>1997</v>
      </c>
      <c r="B8" s="386">
        <v>997.4</v>
      </c>
      <c r="C8" s="441">
        <f t="shared" si="3"/>
        <v>0.11816143497757836</v>
      </c>
      <c r="D8" s="388">
        <v>1.085</v>
      </c>
      <c r="E8" s="370"/>
      <c r="F8" s="401">
        <v>24265</v>
      </c>
      <c r="G8" s="401">
        <v>10303642</v>
      </c>
      <c r="H8" s="402">
        <f t="shared" si="4"/>
        <v>250.01787313</v>
      </c>
      <c r="I8" s="389">
        <f t="shared" si="5"/>
        <v>7.3974299590574999E-2</v>
      </c>
      <c r="J8" s="392"/>
      <c r="K8" s="406">
        <f t="shared" si="0"/>
        <v>238.74705014915668</v>
      </c>
      <c r="L8" s="441">
        <f t="shared" ref="L8:L32" si="8">K8/K7-1</f>
        <v>4.2031990911742811E-2</v>
      </c>
      <c r="M8" s="407">
        <f t="shared" si="1"/>
        <v>241.62597328667519</v>
      </c>
      <c r="N8" s="441">
        <f t="shared" ref="N8:N32" si="9">M8/M7-1</f>
        <v>5.0193433358248107E-2</v>
      </c>
      <c r="O8" s="407">
        <f t="shared" si="2"/>
        <v>239.32265815950868</v>
      </c>
      <c r="P8" s="441">
        <f t="shared" ref="P8:P32" si="10">O8/O7-1</f>
        <v>6.6915824973767135E-2</v>
      </c>
      <c r="Q8" s="392"/>
      <c r="R8" s="401">
        <f t="shared" si="6"/>
        <v>250017.87312999999</v>
      </c>
      <c r="S8" s="441">
        <f t="shared" ref="S8:S26" si="11">R8/R7-1</f>
        <v>7.3974299590574999E-2</v>
      </c>
      <c r="T8" s="408">
        <v>6.08E-2</v>
      </c>
      <c r="U8" s="404">
        <f t="shared" si="7"/>
        <v>15201.086686303999</v>
      </c>
      <c r="V8" s="442">
        <f t="shared" ref="V8:V32" si="12">U8/U7-1</f>
        <v>7.5743614746407895E-2</v>
      </c>
    </row>
    <row r="9" spans="1:24" x14ac:dyDescent="0.2">
      <c r="A9" s="385">
        <v>1998</v>
      </c>
      <c r="B9" s="386">
        <v>1075.0999999999999</v>
      </c>
      <c r="C9" s="441">
        <f t="shared" si="3"/>
        <v>7.7902546621215096E-2</v>
      </c>
      <c r="D9" s="388">
        <v>1.107</v>
      </c>
      <c r="E9" s="370"/>
      <c r="F9" s="401">
        <v>25805</v>
      </c>
      <c r="G9" s="401">
        <v>10294943</v>
      </c>
      <c r="H9" s="402">
        <f t="shared" si="4"/>
        <v>265.66100411500003</v>
      </c>
      <c r="I9" s="389">
        <f t="shared" si="5"/>
        <v>6.2568050792377372E-2</v>
      </c>
      <c r="J9" s="392"/>
      <c r="K9" s="406">
        <f t="shared" si="0"/>
        <v>248.3772860052502</v>
      </c>
      <c r="L9" s="441">
        <f t="shared" si="8"/>
        <v>4.0336564787196494E-2</v>
      </c>
      <c r="M9" s="407">
        <f t="shared" si="1"/>
        <v>250.50890326548992</v>
      </c>
      <c r="N9" s="441">
        <f t="shared" si="9"/>
        <v>3.6763142049615949E-2</v>
      </c>
      <c r="O9" s="407">
        <f t="shared" si="2"/>
        <v>250.38795083768767</v>
      </c>
      <c r="P9" s="441">
        <f t="shared" si="10"/>
        <v>4.6235875713882324E-2</v>
      </c>
      <c r="Q9" s="392"/>
      <c r="R9" s="401">
        <f t="shared" si="6"/>
        <v>265661.00411500002</v>
      </c>
      <c r="S9" s="441">
        <f t="shared" si="11"/>
        <v>6.2568050792377372E-2</v>
      </c>
      <c r="T9" s="408">
        <v>6.0900000000000003E-2</v>
      </c>
      <c r="U9" s="404">
        <f t="shared" si="7"/>
        <v>16178.755150603502</v>
      </c>
      <c r="V9" s="442">
        <f t="shared" si="12"/>
        <v>6.4315695612759738E-2</v>
      </c>
    </row>
    <row r="10" spans="1:24" x14ac:dyDescent="0.2">
      <c r="A10" s="385">
        <v>1999</v>
      </c>
      <c r="B10" s="386">
        <v>1132.9000000000001</v>
      </c>
      <c r="C10" s="441">
        <f t="shared" si="3"/>
        <v>5.3762440703190473E-2</v>
      </c>
      <c r="D10" s="388">
        <v>1.0209999999999999</v>
      </c>
      <c r="E10" s="370"/>
      <c r="F10" s="401">
        <v>25495</v>
      </c>
      <c r="G10" s="401">
        <v>10282784</v>
      </c>
      <c r="H10" s="402">
        <f t="shared" si="4"/>
        <v>262.15957808000002</v>
      </c>
      <c r="I10" s="389">
        <f t="shared" si="5"/>
        <v>-1.3180052701616263E-2</v>
      </c>
      <c r="J10" s="392"/>
      <c r="K10" s="406">
        <f t="shared" si="0"/>
        <v>258.00752186134372</v>
      </c>
      <c r="L10" s="441">
        <f t="shared" si="8"/>
        <v>3.8772610857379153E-2</v>
      </c>
      <c r="M10" s="407">
        <f t="shared" si="1"/>
        <v>257.32795841483789</v>
      </c>
      <c r="N10" s="441">
        <f t="shared" si="9"/>
        <v>2.7220809561890658E-2</v>
      </c>
      <c r="O10" s="407">
        <f t="shared" si="2"/>
        <v>258.61927537821214</v>
      </c>
      <c r="P10" s="441">
        <f t="shared" si="10"/>
        <v>3.2874283738439036E-2</v>
      </c>
      <c r="Q10" s="392"/>
      <c r="R10" s="401">
        <f t="shared" si="6"/>
        <v>262159.57808000001</v>
      </c>
      <c r="S10" s="441">
        <f t="shared" si="11"/>
        <v>-1.3180052701616374E-2</v>
      </c>
      <c r="T10" s="408">
        <v>6.0900000000000003E-2</v>
      </c>
      <c r="U10" s="404">
        <f t="shared" si="7"/>
        <v>15965.518305072001</v>
      </c>
      <c r="V10" s="442">
        <f t="shared" si="12"/>
        <v>-1.3180052701616374E-2</v>
      </c>
    </row>
    <row r="11" spans="1:24" x14ac:dyDescent="0.2">
      <c r="A11" s="385">
        <v>2000</v>
      </c>
      <c r="B11" s="386">
        <v>1191.0999999999999</v>
      </c>
      <c r="C11" s="441">
        <f t="shared" si="3"/>
        <v>5.1372583634919033E-2</v>
      </c>
      <c r="D11" s="388">
        <v>1.0389999999999999</v>
      </c>
      <c r="E11" s="370"/>
      <c r="F11" s="401">
        <v>25833</v>
      </c>
      <c r="G11" s="401">
        <v>10272503</v>
      </c>
      <c r="H11" s="402">
        <f t="shared" si="4"/>
        <v>265.36956999900002</v>
      </c>
      <c r="I11" s="389">
        <f t="shared" si="5"/>
        <v>1.2244419763371983E-2</v>
      </c>
      <c r="J11" s="392"/>
      <c r="K11" s="406">
        <f t="shared" si="0"/>
        <v>267.63775771743718</v>
      </c>
      <c r="L11" s="441">
        <f t="shared" si="8"/>
        <v>3.7325407362615026E-2</v>
      </c>
      <c r="M11" s="407">
        <f t="shared" si="1"/>
        <v>264.38176745525487</v>
      </c>
      <c r="N11" s="441">
        <f t="shared" si="9"/>
        <v>2.7411747576396417E-2</v>
      </c>
      <c r="O11" s="407">
        <f t="shared" si="2"/>
        <v>266.90756410240795</v>
      </c>
      <c r="P11" s="441">
        <f t="shared" si="10"/>
        <v>3.2048224990479879E-2</v>
      </c>
      <c r="Q11" s="392"/>
      <c r="R11" s="401">
        <f t="shared" si="6"/>
        <v>265369.569999</v>
      </c>
      <c r="S11" s="441">
        <f t="shared" si="11"/>
        <v>1.2244419763371983E-2</v>
      </c>
      <c r="T11" s="408">
        <v>6.0900000000000003E-2</v>
      </c>
      <c r="U11" s="404">
        <f t="shared" si="7"/>
        <v>16161.0068129391</v>
      </c>
      <c r="V11" s="442">
        <f t="shared" si="12"/>
        <v>1.2244419763371983E-2</v>
      </c>
    </row>
    <row r="12" spans="1:24" x14ac:dyDescent="0.2">
      <c r="A12" s="385">
        <v>2001</v>
      </c>
      <c r="B12" s="386">
        <v>1270.0999999999999</v>
      </c>
      <c r="C12" s="441">
        <f t="shared" si="3"/>
        <v>6.6325245571320579E-2</v>
      </c>
      <c r="D12" s="388">
        <v>1.0469999999999999</v>
      </c>
      <c r="E12" s="370"/>
      <c r="F12" s="401">
        <v>27184</v>
      </c>
      <c r="G12" s="401">
        <v>10224192</v>
      </c>
      <c r="H12" s="402">
        <f t="shared" si="4"/>
        <v>277.93443532800001</v>
      </c>
      <c r="I12" s="389">
        <f t="shared" si="5"/>
        <v>4.7348553675718552E-2</v>
      </c>
      <c r="J12" s="392"/>
      <c r="K12" s="406">
        <f t="shared" si="0"/>
        <v>277.2679935735307</v>
      </c>
      <c r="L12" s="441">
        <f t="shared" si="8"/>
        <v>3.5982351437351401E-2</v>
      </c>
      <c r="M12" s="407">
        <f t="shared" si="1"/>
        <v>274.26689232378988</v>
      </c>
      <c r="N12" s="441">
        <f t="shared" si="9"/>
        <v>3.73895861415936E-2</v>
      </c>
      <c r="O12" s="407">
        <f t="shared" si="2"/>
        <v>278.15799037751913</v>
      </c>
      <c r="P12" s="441">
        <f t="shared" si="10"/>
        <v>4.215102075861199E-2</v>
      </c>
      <c r="Q12" s="392"/>
      <c r="R12" s="401">
        <f t="shared" si="6"/>
        <v>277934.43532799999</v>
      </c>
      <c r="S12" s="441">
        <f t="shared" si="11"/>
        <v>4.7348553675718552E-2</v>
      </c>
      <c r="T12" s="408">
        <v>6.1199999999999997E-2</v>
      </c>
      <c r="U12" s="404">
        <f t="shared" si="7"/>
        <v>17009.5874420736</v>
      </c>
      <c r="V12" s="442">
        <f t="shared" si="12"/>
        <v>5.2507906156879613E-2</v>
      </c>
    </row>
    <row r="13" spans="1:24" x14ac:dyDescent="0.2">
      <c r="A13" s="385">
        <v>2002</v>
      </c>
      <c r="B13" s="386">
        <v>1325.4</v>
      </c>
      <c r="C13" s="441">
        <f t="shared" si="3"/>
        <v>4.3539878749704997E-2</v>
      </c>
      <c r="D13" s="388">
        <v>1.018</v>
      </c>
      <c r="E13" s="370"/>
      <c r="F13" s="401">
        <v>27500</v>
      </c>
      <c r="G13" s="401">
        <v>10200774</v>
      </c>
      <c r="H13" s="402">
        <f t="shared" si="4"/>
        <v>280.52128499999998</v>
      </c>
      <c r="I13" s="389">
        <f t="shared" si="5"/>
        <v>9.3074097455652094E-3</v>
      </c>
      <c r="J13" s="392"/>
      <c r="K13" s="406">
        <f t="shared" si="0"/>
        <v>286.89822942962422</v>
      </c>
      <c r="L13" s="441">
        <f t="shared" si="8"/>
        <v>3.4732591136739321E-2</v>
      </c>
      <c r="M13" s="407">
        <f t="shared" si="1"/>
        <v>281.40557974450883</v>
      </c>
      <c r="N13" s="441">
        <f t="shared" si="9"/>
        <v>2.6028250658454599E-2</v>
      </c>
      <c r="O13" s="407">
        <f t="shared" si="2"/>
        <v>286.03328877009704</v>
      </c>
      <c r="P13" s="441">
        <f t="shared" si="10"/>
        <v>2.8312321288665787E-2</v>
      </c>
      <c r="Q13" s="392"/>
      <c r="R13" s="401">
        <f t="shared" si="6"/>
        <v>280521.28499999997</v>
      </c>
      <c r="S13" s="441">
        <f t="shared" si="11"/>
        <v>9.3074097455652094E-3</v>
      </c>
      <c r="T13" s="408">
        <v>6.1199999999999997E-2</v>
      </c>
      <c r="U13" s="404">
        <f t="shared" si="7"/>
        <v>17167.902641999997</v>
      </c>
      <c r="V13" s="442">
        <f t="shared" si="12"/>
        <v>9.3074097455649873E-3</v>
      </c>
    </row>
    <row r="14" spans="1:24" x14ac:dyDescent="0.2">
      <c r="A14" s="385">
        <v>2003</v>
      </c>
      <c r="B14" s="386">
        <v>1390.4</v>
      </c>
      <c r="C14" s="441">
        <f t="shared" si="3"/>
        <v>4.9041798702278649E-2</v>
      </c>
      <c r="D14" s="388">
        <v>1.0009999999999999</v>
      </c>
      <c r="E14" s="370"/>
      <c r="F14" s="401">
        <v>28025</v>
      </c>
      <c r="G14" s="401">
        <v>10201651</v>
      </c>
      <c r="H14" s="402">
        <f t="shared" si="4"/>
        <v>285.901269275</v>
      </c>
      <c r="I14" s="389">
        <f t="shared" si="5"/>
        <v>1.9178524278469666E-2</v>
      </c>
      <c r="J14" s="392"/>
      <c r="K14" s="406">
        <f t="shared" si="0"/>
        <v>296.52846528571774</v>
      </c>
      <c r="L14" s="441">
        <f t="shared" si="8"/>
        <v>3.356673157321044E-2</v>
      </c>
      <c r="M14" s="407">
        <f t="shared" si="1"/>
        <v>290.03435544093514</v>
      </c>
      <c r="N14" s="441">
        <f t="shared" si="9"/>
        <v>3.0663129367443531E-2</v>
      </c>
      <c r="O14" s="407">
        <f t="shared" si="2"/>
        <v>295.28996861670754</v>
      </c>
      <c r="P14" s="441">
        <f t="shared" si="10"/>
        <v>3.2362246668605987E-2</v>
      </c>
      <c r="Q14" s="392"/>
      <c r="R14" s="401">
        <f t="shared" si="6"/>
        <v>285901.26927500003</v>
      </c>
      <c r="S14" s="441">
        <f t="shared" si="11"/>
        <v>1.9178524278469888E-2</v>
      </c>
      <c r="T14" s="408">
        <v>6.13E-2</v>
      </c>
      <c r="U14" s="404">
        <f t="shared" si="7"/>
        <v>17525.747806557501</v>
      </c>
      <c r="V14" s="442">
        <f t="shared" si="12"/>
        <v>2.0843848664545916E-2</v>
      </c>
    </row>
    <row r="15" spans="1:24" x14ac:dyDescent="0.2">
      <c r="A15" s="385">
        <v>2004</v>
      </c>
      <c r="B15" s="386">
        <v>1481.5</v>
      </c>
      <c r="C15" s="441">
        <f t="shared" si="3"/>
        <v>6.5520713463751434E-2</v>
      </c>
      <c r="D15" s="388">
        <v>1.028</v>
      </c>
      <c r="E15" s="370"/>
      <c r="F15" s="401">
        <v>28658</v>
      </c>
      <c r="G15" s="401">
        <v>10206923</v>
      </c>
      <c r="H15" s="402">
        <f t="shared" si="4"/>
        <v>292.50999933399999</v>
      </c>
      <c r="I15" s="389">
        <f t="shared" si="5"/>
        <v>2.3115427489212248E-2</v>
      </c>
      <c r="J15" s="392"/>
      <c r="K15" s="406">
        <f t="shared" si="0"/>
        <v>306.15870114181121</v>
      </c>
      <c r="L15" s="441">
        <f t="shared" si="8"/>
        <v>3.2476598315154481E-2</v>
      </c>
      <c r="M15" s="407">
        <f t="shared" si="1"/>
        <v>302.57501259471996</v>
      </c>
      <c r="N15" s="441">
        <f t="shared" si="9"/>
        <v>4.3238523018141795E-2</v>
      </c>
      <c r="O15" s="407">
        <f t="shared" si="2"/>
        <v>308.26356144788008</v>
      </c>
      <c r="P15" s="441">
        <f t="shared" si="10"/>
        <v>4.3935095025231075E-2</v>
      </c>
      <c r="Q15" s="392"/>
      <c r="R15" s="401">
        <f t="shared" si="6"/>
        <v>292509.99933399999</v>
      </c>
      <c r="S15" s="441">
        <f t="shared" si="11"/>
        <v>2.3115427489212026E-2</v>
      </c>
      <c r="T15" s="408">
        <v>6.13E-2</v>
      </c>
      <c r="U15" s="404">
        <f t="shared" si="7"/>
        <v>17930.862959174199</v>
      </c>
      <c r="V15" s="442">
        <f t="shared" si="12"/>
        <v>2.3115427489212026E-2</v>
      </c>
    </row>
    <row r="16" spans="1:24" x14ac:dyDescent="0.2">
      <c r="A16" s="385">
        <v>2005</v>
      </c>
      <c r="B16" s="386">
        <v>1544.7</v>
      </c>
      <c r="C16" s="441">
        <f t="shared" si="3"/>
        <v>4.2659466756665543E-2</v>
      </c>
      <c r="D16" s="388">
        <v>1.0189999999999999</v>
      </c>
      <c r="E16" s="370"/>
      <c r="F16" s="401">
        <v>29158</v>
      </c>
      <c r="G16" s="401">
        <v>10234092</v>
      </c>
      <c r="H16" s="402">
        <f t="shared" si="4"/>
        <v>298.40565453599999</v>
      </c>
      <c r="I16" s="389">
        <f t="shared" si="5"/>
        <v>2.0155397133169828E-2</v>
      </c>
      <c r="J16" s="392"/>
      <c r="K16" s="406">
        <f t="shared" si="0"/>
        <v>315.78893699790473</v>
      </c>
      <c r="L16" s="441">
        <f t="shared" si="8"/>
        <v>3.1455045439433116E-2</v>
      </c>
      <c r="M16" s="407">
        <f t="shared" si="1"/>
        <v>311.59219259332644</v>
      </c>
      <c r="N16" s="441">
        <f t="shared" si="9"/>
        <v>2.9801469464646235E-2</v>
      </c>
      <c r="O16" s="407">
        <f t="shared" si="2"/>
        <v>317.26390246796905</v>
      </c>
      <c r="P16" s="441">
        <f t="shared" si="10"/>
        <v>2.9196902085395271E-2</v>
      </c>
      <c r="Q16" s="392"/>
      <c r="R16" s="401">
        <f t="shared" si="6"/>
        <v>298405.65453599999</v>
      </c>
      <c r="S16" s="441">
        <f t="shared" si="11"/>
        <v>2.0155397133169828E-2</v>
      </c>
      <c r="T16" s="408">
        <v>6.1199999999999997E-2</v>
      </c>
      <c r="U16" s="404">
        <f t="shared" si="7"/>
        <v>18262.426057603199</v>
      </c>
      <c r="V16" s="442">
        <f t="shared" si="12"/>
        <v>1.8491195832789353E-2</v>
      </c>
    </row>
    <row r="17" spans="1:23" x14ac:dyDescent="0.2">
      <c r="A17" s="385">
        <v>2006</v>
      </c>
      <c r="B17" s="386">
        <v>1631</v>
      </c>
      <c r="C17" s="441">
        <f t="shared" si="3"/>
        <v>5.5868453421376252E-2</v>
      </c>
      <c r="D17" s="388">
        <v>1.0249999999999999</v>
      </c>
      <c r="E17" s="370"/>
      <c r="F17" s="401">
        <v>31050</v>
      </c>
      <c r="G17" s="401">
        <v>10266646</v>
      </c>
      <c r="H17" s="402">
        <f t="shared" si="4"/>
        <v>318.77935830000001</v>
      </c>
      <c r="I17" s="389">
        <f t="shared" si="5"/>
        <v>6.8275193362805853E-2</v>
      </c>
      <c r="J17" s="392"/>
      <c r="K17" s="406">
        <f t="shared" si="0"/>
        <v>325.41917285399825</v>
      </c>
      <c r="L17" s="441">
        <f t="shared" si="8"/>
        <v>3.0495798705441723E-2</v>
      </c>
      <c r="M17" s="407">
        <f t="shared" si="1"/>
        <v>324.34078391838693</v>
      </c>
      <c r="N17" s="441">
        <f t="shared" si="9"/>
        <v>4.0914347753569169E-2</v>
      </c>
      <c r="O17" s="407">
        <f t="shared" si="2"/>
        <v>329.5539250950842</v>
      </c>
      <c r="P17" s="441">
        <f t="shared" si="10"/>
        <v>3.8737538470377864E-2</v>
      </c>
      <c r="Q17" s="392"/>
      <c r="R17" s="401">
        <f t="shared" si="6"/>
        <v>318779.35830000002</v>
      </c>
      <c r="S17" s="441">
        <f t="shared" si="11"/>
        <v>6.8275193362805853E-2</v>
      </c>
      <c r="T17" s="408">
        <v>6.1199999999999997E-2</v>
      </c>
      <c r="U17" s="404">
        <f t="shared" si="7"/>
        <v>19509.296727960002</v>
      </c>
      <c r="V17" s="442">
        <f t="shared" si="12"/>
        <v>6.8275193362805853E-2</v>
      </c>
    </row>
    <row r="18" spans="1:23" x14ac:dyDescent="0.2">
      <c r="A18" s="385">
        <v>2007</v>
      </c>
      <c r="B18" s="386">
        <v>1749.5</v>
      </c>
      <c r="C18" s="441">
        <f t="shared" si="3"/>
        <v>7.2654812998160567E-2</v>
      </c>
      <c r="D18" s="388">
        <v>1.028</v>
      </c>
      <c r="E18" s="370"/>
      <c r="F18" s="401">
        <v>32393</v>
      </c>
      <c r="G18" s="401">
        <v>10322689</v>
      </c>
      <c r="H18" s="402">
        <f t="shared" si="4"/>
        <v>334.38286477700001</v>
      </c>
      <c r="I18" s="389">
        <f t="shared" si="5"/>
        <v>4.8947668883616124E-2</v>
      </c>
      <c r="J18" s="392"/>
      <c r="K18" s="406">
        <f t="shared" si="0"/>
        <v>335.04940871009171</v>
      </c>
      <c r="L18" s="441">
        <f t="shared" si="8"/>
        <v>2.9593326575180434E-2</v>
      </c>
      <c r="M18" s="407">
        <f t="shared" si="1"/>
        <v>342.70022380634532</v>
      </c>
      <c r="N18" s="441">
        <f t="shared" si="9"/>
        <v>5.6605400240316683E-2</v>
      </c>
      <c r="O18" s="407">
        <f t="shared" si="2"/>
        <v>346.42956450775102</v>
      </c>
      <c r="P18" s="441">
        <f t="shared" si="10"/>
        <v>5.1207520613804958E-2</v>
      </c>
      <c r="Q18" s="392"/>
      <c r="R18" s="401">
        <f t="shared" si="6"/>
        <v>334382.86477699998</v>
      </c>
      <c r="S18" s="441">
        <f t="shared" si="11"/>
        <v>4.8947668883615902E-2</v>
      </c>
      <c r="T18" s="408">
        <v>6.1199999999999997E-2</v>
      </c>
      <c r="U18" s="404">
        <f t="shared" si="7"/>
        <v>20464.231324352397</v>
      </c>
      <c r="V18" s="442">
        <f t="shared" si="12"/>
        <v>4.8947668883615902E-2</v>
      </c>
    </row>
    <row r="19" spans="1:23" x14ac:dyDescent="0.2">
      <c r="A19" s="385">
        <v>2008</v>
      </c>
      <c r="B19" s="386">
        <v>1887</v>
      </c>
      <c r="C19" s="441">
        <f t="shared" si="3"/>
        <v>7.8593883966847633E-2</v>
      </c>
      <c r="D19" s="388">
        <v>1.0629999999999999</v>
      </c>
      <c r="E19" s="370"/>
      <c r="F19" s="401">
        <v>34856</v>
      </c>
      <c r="G19" s="401">
        <v>10429692</v>
      </c>
      <c r="H19" s="402">
        <f t="shared" si="4"/>
        <v>363.53734435199999</v>
      </c>
      <c r="I19" s="389">
        <f t="shared" si="5"/>
        <v>8.7188916197733723E-2</v>
      </c>
      <c r="J19" s="392"/>
      <c r="K19" s="406">
        <f t="shared" si="0"/>
        <v>344.67964456618523</v>
      </c>
      <c r="L19" s="441">
        <f t="shared" si="8"/>
        <v>2.8742733476740057E-2</v>
      </c>
      <c r="M19" s="407">
        <f t="shared" si="1"/>
        <v>365.30981267851092</v>
      </c>
      <c r="N19" s="441">
        <f t="shared" si="9"/>
        <v>6.5974829607762242E-2</v>
      </c>
      <c r="O19" s="407">
        <f t="shared" si="2"/>
        <v>366.0110026448117</v>
      </c>
      <c r="P19" s="441">
        <f t="shared" si="10"/>
        <v>5.652357692070642E-2</v>
      </c>
      <c r="Q19" s="392"/>
      <c r="R19" s="401">
        <f t="shared" si="6"/>
        <v>363537.34435199999</v>
      </c>
      <c r="S19" s="441">
        <f t="shared" si="11"/>
        <v>8.7188916197733723E-2</v>
      </c>
      <c r="T19" s="408">
        <v>6.08E-2</v>
      </c>
      <c r="U19" s="404">
        <f t="shared" si="7"/>
        <v>22103.070536601597</v>
      </c>
      <c r="V19" s="442">
        <f t="shared" si="12"/>
        <v>8.0083106287944794E-2</v>
      </c>
    </row>
    <row r="20" spans="1:23" x14ac:dyDescent="0.2">
      <c r="A20" s="385">
        <v>2009</v>
      </c>
      <c r="B20" s="386">
        <v>1890.9</v>
      </c>
      <c r="C20" s="441">
        <f t="shared" si="3"/>
        <v>2.0667726550080978E-3</v>
      </c>
      <c r="D20" s="388">
        <v>1.01</v>
      </c>
      <c r="E20" s="370"/>
      <c r="F20" s="401">
        <v>35856</v>
      </c>
      <c r="G20" s="401">
        <v>10491492</v>
      </c>
      <c r="H20" s="402">
        <f t="shared" si="4"/>
        <v>376.18293715200002</v>
      </c>
      <c r="I20" s="389">
        <f t="shared" si="5"/>
        <v>3.4784852220727469E-2</v>
      </c>
      <c r="J20" s="392"/>
      <c r="K20" s="406">
        <f t="shared" si="0"/>
        <v>354.30988042227875</v>
      </c>
      <c r="L20" s="441">
        <f t="shared" si="8"/>
        <v>2.7939670960883678E-2</v>
      </c>
      <c r="M20" s="407">
        <f t="shared" si="1"/>
        <v>365.97240706000821</v>
      </c>
      <c r="N20" s="441">
        <f t="shared" si="9"/>
        <v>1.813787526371291E-3</v>
      </c>
      <c r="O20" s="407">
        <f t="shared" si="2"/>
        <v>366.56640343560832</v>
      </c>
      <c r="P20" s="441">
        <f t="shared" si="10"/>
        <v>1.5174428822719577E-3</v>
      </c>
      <c r="Q20" s="392"/>
      <c r="R20" s="401">
        <f t="shared" si="6"/>
        <v>376182.93715200003</v>
      </c>
      <c r="S20" s="441">
        <f t="shared" si="11"/>
        <v>3.4784852220727469E-2</v>
      </c>
      <c r="T20" s="408">
        <v>6.0699999999999997E-2</v>
      </c>
      <c r="U20" s="404">
        <f t="shared" si="7"/>
        <v>22834.3042851264</v>
      </c>
      <c r="V20" s="442">
        <f t="shared" si="12"/>
        <v>3.3082903450627699E-2</v>
      </c>
    </row>
    <row r="21" spans="1:23" x14ac:dyDescent="0.2">
      <c r="A21" s="385">
        <v>2010</v>
      </c>
      <c r="B21" s="386">
        <v>1919.9</v>
      </c>
      <c r="C21" s="441">
        <f t="shared" si="3"/>
        <v>1.5336612195250954E-2</v>
      </c>
      <c r="D21" s="388">
        <v>1.0149999999999999</v>
      </c>
      <c r="E21" s="370"/>
      <c r="F21" s="401">
        <v>34998</v>
      </c>
      <c r="G21" s="401">
        <v>10517247</v>
      </c>
      <c r="H21" s="402">
        <f t="shared" si="4"/>
        <v>368.08261050599998</v>
      </c>
      <c r="I21" s="389">
        <f t="shared" si="5"/>
        <v>-2.1532945399719283E-2</v>
      </c>
      <c r="J21" s="392"/>
      <c r="K21" s="406">
        <f t="shared" si="0"/>
        <v>363.94011627837222</v>
      </c>
      <c r="L21" s="441">
        <f t="shared" si="8"/>
        <v>2.7180263346356037E-2</v>
      </c>
      <c r="M21" s="407">
        <f t="shared" si="1"/>
        <v>370.93723166176466</v>
      </c>
      <c r="N21" s="441">
        <f t="shared" si="9"/>
        <v>1.3566117297314051E-2</v>
      </c>
      <c r="O21" s="407">
        <f t="shared" si="2"/>
        <v>370.69630675178837</v>
      </c>
      <c r="P21" s="441">
        <f t="shared" si="10"/>
        <v>1.1266453437829949E-2</v>
      </c>
      <c r="Q21" s="392"/>
      <c r="R21" s="401">
        <f t="shared" si="6"/>
        <v>368082.610506</v>
      </c>
      <c r="S21" s="441">
        <f t="shared" si="11"/>
        <v>-2.1532945399719283E-2</v>
      </c>
      <c r="T21" s="408">
        <v>6.0699999999999997E-2</v>
      </c>
      <c r="U21" s="404">
        <f t="shared" si="7"/>
        <v>22342.6144577142</v>
      </c>
      <c r="V21" s="442">
        <f t="shared" si="12"/>
        <v>-2.1532945399719172E-2</v>
      </c>
    </row>
    <row r="22" spans="1:23" x14ac:dyDescent="0.2">
      <c r="A22" s="385">
        <v>2011</v>
      </c>
      <c r="B22" s="386">
        <v>1952</v>
      </c>
      <c r="C22" s="441">
        <f t="shared" si="3"/>
        <v>1.6719620813584024E-2</v>
      </c>
      <c r="D22" s="388">
        <v>1.0190000000000001</v>
      </c>
      <c r="E22" s="370"/>
      <c r="F22" s="401">
        <v>35279</v>
      </c>
      <c r="G22" s="401">
        <v>10496672</v>
      </c>
      <c r="H22" s="402">
        <f t="shared" si="4"/>
        <v>370.31209148800002</v>
      </c>
      <c r="I22" s="389">
        <f t="shared" si="5"/>
        <v>6.0570125248111673E-3</v>
      </c>
      <c r="J22" s="392"/>
      <c r="K22" s="406">
        <f t="shared" si="0"/>
        <v>373.57035213446574</v>
      </c>
      <c r="L22" s="441">
        <f t="shared" si="8"/>
        <v>2.6461045170210085E-2</v>
      </c>
      <c r="M22" s="407">
        <f t="shared" si="1"/>
        <v>376.51135472386835</v>
      </c>
      <c r="N22" s="441">
        <f t="shared" si="9"/>
        <v>1.5027132857847958E-2</v>
      </c>
      <c r="O22" s="407">
        <f t="shared" si="2"/>
        <v>375.26768249142219</v>
      </c>
      <c r="P22" s="441">
        <f t="shared" si="10"/>
        <v>1.2331862110227965E-2</v>
      </c>
      <c r="Q22" s="392"/>
      <c r="R22" s="401">
        <f t="shared" si="6"/>
        <v>370312.09148800001</v>
      </c>
      <c r="S22" s="441">
        <f t="shared" si="11"/>
        <v>6.0570125248111673E-3</v>
      </c>
      <c r="T22" s="408">
        <v>6.0600000000000001E-2</v>
      </c>
      <c r="U22" s="404">
        <f t="shared" si="7"/>
        <v>22440.912744172801</v>
      </c>
      <c r="V22" s="442">
        <f t="shared" si="12"/>
        <v>4.3995874629909615E-3</v>
      </c>
    </row>
    <row r="23" spans="1:23" x14ac:dyDescent="0.2">
      <c r="A23" s="385">
        <v>2012</v>
      </c>
      <c r="B23" s="386">
        <v>1970.4</v>
      </c>
      <c r="C23" s="441">
        <f t="shared" si="3"/>
        <v>9.4262295081968261E-3</v>
      </c>
      <c r="D23" s="388">
        <v>1.0329999999999999</v>
      </c>
      <c r="E23" s="370"/>
      <c r="F23" s="401">
        <v>36667</v>
      </c>
      <c r="G23" s="401">
        <v>10509286</v>
      </c>
      <c r="H23" s="402">
        <f t="shared" si="4"/>
        <v>385.34398976199998</v>
      </c>
      <c r="I23" s="389">
        <f t="shared" si="5"/>
        <v>4.0592512692735117E-2</v>
      </c>
      <c r="J23" s="392"/>
      <c r="K23" s="406">
        <f t="shared" si="0"/>
        <v>383.20058799055926</v>
      </c>
      <c r="L23" s="441">
        <f t="shared" si="8"/>
        <v>2.5778908312903637E-2</v>
      </c>
      <c r="M23" s="407">
        <f t="shared" si="1"/>
        <v>379.74417818516025</v>
      </c>
      <c r="N23" s="441">
        <f t="shared" si="9"/>
        <v>8.5862575476982617E-3</v>
      </c>
      <c r="O23" s="407">
        <f t="shared" si="2"/>
        <v>377.88803494030884</v>
      </c>
      <c r="P23" s="441">
        <f t="shared" si="10"/>
        <v>6.9826221951487799E-3</v>
      </c>
      <c r="Q23" s="392"/>
      <c r="R23" s="401">
        <f t="shared" si="6"/>
        <v>385343.98976199998</v>
      </c>
      <c r="S23" s="441">
        <f t="shared" si="11"/>
        <v>4.0592512692735339E-2</v>
      </c>
      <c r="T23" s="408">
        <v>6.0600000000000001E-2</v>
      </c>
      <c r="U23" s="404">
        <f t="shared" si="7"/>
        <v>23351.845779577201</v>
      </c>
      <c r="V23" s="442">
        <f t="shared" si="12"/>
        <v>4.0592512692735339E-2</v>
      </c>
    </row>
    <row r="24" spans="1:23" x14ac:dyDescent="0.2">
      <c r="A24" s="385">
        <v>2013</v>
      </c>
      <c r="B24" s="386">
        <v>1996.6</v>
      </c>
      <c r="C24" s="441">
        <f t="shared" si="3"/>
        <v>1.3296792529435608E-2</v>
      </c>
      <c r="D24" s="388">
        <v>1.014</v>
      </c>
      <c r="E24" s="370"/>
      <c r="F24" s="401">
        <v>37365</v>
      </c>
      <c r="G24" s="401">
        <v>10510719</v>
      </c>
      <c r="H24" s="402">
        <f t="shared" si="4"/>
        <v>392.73301543500003</v>
      </c>
      <c r="I24" s="389">
        <f t="shared" si="5"/>
        <v>1.9175141871458079E-2</v>
      </c>
      <c r="J24" s="392"/>
      <c r="K24" s="406">
        <f t="shared" si="0"/>
        <v>392.83082384665272</v>
      </c>
      <c r="L24" s="441">
        <f t="shared" si="8"/>
        <v>2.5131057096213771E-2</v>
      </c>
      <c r="M24" s="407">
        <f t="shared" si="1"/>
        <v>384.39539803065179</v>
      </c>
      <c r="N24" s="441">
        <f t="shared" si="9"/>
        <v>1.2248297966594768E-2</v>
      </c>
      <c r="O24" s="407">
        <f t="shared" si="2"/>
        <v>381.61918897078874</v>
      </c>
      <c r="P24" s="441">
        <f t="shared" si="10"/>
        <v>9.8737024872175283E-3</v>
      </c>
      <c r="Q24" s="392"/>
      <c r="R24" s="401">
        <f t="shared" si="6"/>
        <v>392733.01543500001</v>
      </c>
      <c r="S24" s="441">
        <f t="shared" si="11"/>
        <v>1.9175141871458079E-2</v>
      </c>
      <c r="T24" s="408">
        <v>6.0600000000000001E-2</v>
      </c>
      <c r="U24" s="404">
        <f t="shared" si="7"/>
        <v>23799.620735361001</v>
      </c>
      <c r="V24" s="442">
        <f t="shared" si="12"/>
        <v>1.9175141871457857E-2</v>
      </c>
    </row>
    <row r="25" spans="1:23" x14ac:dyDescent="0.2">
      <c r="A25" s="385">
        <v>2014</v>
      </c>
      <c r="B25" s="386">
        <v>2044.3</v>
      </c>
      <c r="C25" s="441">
        <f t="shared" si="3"/>
        <v>2.3890614043874603E-2</v>
      </c>
      <c r="D25" s="388">
        <v>1.004</v>
      </c>
      <c r="E25" s="370"/>
      <c r="F25" s="401">
        <v>38172</v>
      </c>
      <c r="G25" s="401">
        <v>10524783</v>
      </c>
      <c r="H25" s="402">
        <f t="shared" si="4"/>
        <v>401.75201667599998</v>
      </c>
      <c r="I25" s="389">
        <f t="shared" si="5"/>
        <v>2.2964713651614677E-2</v>
      </c>
      <c r="J25" s="392"/>
      <c r="K25" s="406">
        <f t="shared" si="0"/>
        <v>402.4610597027463</v>
      </c>
      <c r="L25" s="441">
        <f t="shared" si="8"/>
        <v>2.4514969985789392E-2</v>
      </c>
      <c r="M25" s="407">
        <f t="shared" si="1"/>
        <v>393.01022432162756</v>
      </c>
      <c r="N25" s="441">
        <f t="shared" si="9"/>
        <v>2.2411366876688765E-2</v>
      </c>
      <c r="O25" s="407">
        <f t="shared" si="2"/>
        <v>388.41216787360906</v>
      </c>
      <c r="P25" s="441">
        <f t="shared" si="10"/>
        <v>1.7800412293576429E-2</v>
      </c>
      <c r="Q25" s="392"/>
      <c r="R25" s="401">
        <f t="shared" si="6"/>
        <v>401752.01667599997</v>
      </c>
      <c r="S25" s="441">
        <f t="shared" si="11"/>
        <v>2.2964713651614677E-2</v>
      </c>
      <c r="T25" s="408">
        <v>6.0499999999999998E-2</v>
      </c>
      <c r="U25" s="404">
        <f t="shared" si="7"/>
        <v>24305.997008897997</v>
      </c>
      <c r="V25" s="442">
        <f t="shared" si="12"/>
        <v>2.1276653068031059E-2</v>
      </c>
    </row>
    <row r="26" spans="1:23" x14ac:dyDescent="0.2">
      <c r="A26" s="385">
        <v>2015</v>
      </c>
      <c r="B26" s="386">
        <v>2109.5</v>
      </c>
      <c r="C26" s="441">
        <f t="shared" si="3"/>
        <v>3.1893557697011188E-2</v>
      </c>
      <c r="D26" s="388">
        <v>1.0029999999999999</v>
      </c>
      <c r="E26" s="370"/>
      <c r="F26" s="401">
        <v>38316</v>
      </c>
      <c r="G26" s="401">
        <v>10542942</v>
      </c>
      <c r="H26" s="402">
        <f t="shared" si="4"/>
        <v>403.96336567200001</v>
      </c>
      <c r="I26" s="389">
        <f t="shared" si="5"/>
        <v>5.5042635860205191E-3</v>
      </c>
      <c r="J26" s="392"/>
      <c r="K26" s="406">
        <f t="shared" si="0"/>
        <v>412.09129555883976</v>
      </c>
      <c r="L26" s="441">
        <f t="shared" si="8"/>
        <v>2.3928366792072442E-2</v>
      </c>
      <c r="M26" s="407">
        <f t="shared" si="1"/>
        <v>405.0987919537227</v>
      </c>
      <c r="N26" s="441">
        <f t="shared" si="9"/>
        <v>3.0758913850043257E-2</v>
      </c>
      <c r="O26" s="407">
        <f t="shared" si="2"/>
        <v>397.69732981205527</v>
      </c>
      <c r="P26" s="441">
        <f t="shared" si="10"/>
        <v>2.3905435273252396E-2</v>
      </c>
      <c r="Q26" s="392"/>
      <c r="R26" s="401">
        <f t="shared" si="6"/>
        <v>403963.36567199999</v>
      </c>
      <c r="S26" s="441">
        <f t="shared" si="11"/>
        <v>5.5042635860205191E-3</v>
      </c>
      <c r="T26" s="408">
        <v>6.0400000000000002E-2</v>
      </c>
      <c r="U26" s="404">
        <f t="shared" si="7"/>
        <v>24399.387286588801</v>
      </c>
      <c r="V26" s="442">
        <f t="shared" si="12"/>
        <v>3.8422730676965777E-3</v>
      </c>
    </row>
    <row r="27" spans="1:23" x14ac:dyDescent="0.2">
      <c r="A27" s="385">
        <v>2016</v>
      </c>
      <c r="B27" s="386">
        <v>2189.6999999999998</v>
      </c>
      <c r="C27" s="441">
        <f t="shared" si="3"/>
        <v>3.8018487793315847E-2</v>
      </c>
      <c r="D27" s="388">
        <v>1.0049999999999999</v>
      </c>
      <c r="E27" s="370"/>
      <c r="F27" s="401"/>
      <c r="G27" s="401">
        <v>10565284</v>
      </c>
      <c r="H27" s="404"/>
      <c r="I27" s="405"/>
      <c r="J27" s="393"/>
      <c r="K27" s="406">
        <f t="shared" si="0"/>
        <v>421.72153141493328</v>
      </c>
      <c r="L27" s="441">
        <f t="shared" si="8"/>
        <v>2.3369180470152573E-2</v>
      </c>
      <c r="M27" s="407">
        <f t="shared" si="1"/>
        <v>420.47965506829593</v>
      </c>
      <c r="N27" s="441">
        <f t="shared" si="9"/>
        <v>3.7968178182891998E-2</v>
      </c>
      <c r="O27" s="407">
        <f t="shared" si="2"/>
        <v>409.11864863818084</v>
      </c>
      <c r="P27" s="441">
        <f t="shared" si="10"/>
        <v>2.8718620845463283E-2</v>
      </c>
      <c r="Q27" s="392"/>
      <c r="R27" s="424">
        <f t="shared" ref="R27:R32" si="13">R26*(1+S27)</f>
        <v>415564.63640619139</v>
      </c>
      <c r="S27" s="441">
        <f t="shared" ref="S27:S32" si="14">P27</f>
        <v>2.8718620845463283E-2</v>
      </c>
      <c r="T27" s="425">
        <v>6.0499999999999998E-2</v>
      </c>
      <c r="U27" s="426">
        <f t="shared" si="7"/>
        <v>25141.660502574578</v>
      </c>
      <c r="V27" s="442">
        <f t="shared" si="12"/>
        <v>3.0421797370041803E-2</v>
      </c>
    </row>
    <row r="28" spans="1:23" x14ac:dyDescent="0.2">
      <c r="A28" s="385">
        <v>2017</v>
      </c>
      <c r="B28" s="386">
        <v>2294.8000000000002</v>
      </c>
      <c r="C28" s="441">
        <f t="shared" si="3"/>
        <v>4.7997442572041971E-2</v>
      </c>
      <c r="D28" s="388">
        <v>1.012</v>
      </c>
      <c r="E28" s="370"/>
      <c r="F28" s="384"/>
      <c r="G28" s="384"/>
      <c r="H28" s="384"/>
      <c r="I28" s="384"/>
      <c r="J28" s="394"/>
      <c r="K28" s="406">
        <f t="shared" si="0"/>
        <v>431.3517672710268</v>
      </c>
      <c r="L28" s="441">
        <f t="shared" si="8"/>
        <v>2.283553278340511E-2</v>
      </c>
      <c r="M28" s="407">
        <f t="shared" si="1"/>
        <v>441.52342184016857</v>
      </c>
      <c r="N28" s="441">
        <f t="shared" si="9"/>
        <v>5.0047051071839821E-2</v>
      </c>
      <c r="O28" s="407">
        <f t="shared" si="2"/>
        <v>424.08598789785412</v>
      </c>
      <c r="P28" s="441">
        <f t="shared" si="10"/>
        <v>3.6584348597881178E-2</v>
      </c>
      <c r="Q28" s="396"/>
      <c r="R28" s="426">
        <f t="shared" si="13"/>
        <v>430767.79792942724</v>
      </c>
      <c r="S28" s="441">
        <f t="shared" si="14"/>
        <v>3.6584348597881178E-2</v>
      </c>
      <c r="T28" s="425">
        <v>6.0499999999999998E-2</v>
      </c>
      <c r="U28" s="426">
        <f t="shared" si="7"/>
        <v>26061.451774730347</v>
      </c>
      <c r="V28" s="442">
        <f t="shared" si="12"/>
        <v>3.6584348597881178E-2</v>
      </c>
      <c r="W28" s="372"/>
    </row>
    <row r="29" spans="1:23" x14ac:dyDescent="0.2">
      <c r="A29" s="385">
        <v>2018</v>
      </c>
      <c r="B29" s="386">
        <v>2398.1</v>
      </c>
      <c r="C29" s="441">
        <f t="shared" si="3"/>
        <v>4.5014816105978683E-2</v>
      </c>
      <c r="D29" s="388">
        <v>1.016</v>
      </c>
      <c r="E29" s="370"/>
      <c r="F29" s="384"/>
      <c r="G29" s="384"/>
      <c r="H29" s="384"/>
      <c r="I29" s="384"/>
      <c r="J29" s="394"/>
      <c r="K29" s="435">
        <f t="shared" si="0"/>
        <v>440.98200312712027</v>
      </c>
      <c r="L29" s="441">
        <f t="shared" si="8"/>
        <v>2.2325713227094868E-2</v>
      </c>
      <c r="M29" s="435">
        <f t="shared" si="1"/>
        <v>463.23276897295534</v>
      </c>
      <c r="N29" s="441">
        <f t="shared" si="9"/>
        <v>4.9169185730413068E-2</v>
      </c>
      <c r="O29" s="407">
        <f t="shared" si="2"/>
        <v>438.79698833100588</v>
      </c>
      <c r="P29" s="441">
        <f t="shared" si="10"/>
        <v>3.468872080889196E-2</v>
      </c>
      <c r="Q29" s="396"/>
      <c r="R29" s="426">
        <f t="shared" si="13"/>
        <v>445710.58180526231</v>
      </c>
      <c r="S29" s="441">
        <f t="shared" si="14"/>
        <v>3.468872080889196E-2</v>
      </c>
      <c r="T29" s="425">
        <v>6.0499999999999998E-2</v>
      </c>
      <c r="U29" s="426">
        <f t="shared" si="7"/>
        <v>26965.49019921837</v>
      </c>
      <c r="V29" s="442">
        <f t="shared" si="12"/>
        <v>3.468872080889196E-2</v>
      </c>
      <c r="W29" s="372"/>
    </row>
    <row r="30" spans="1:23" x14ac:dyDescent="0.2">
      <c r="A30" s="385">
        <v>2019</v>
      </c>
      <c r="B30" s="386">
        <v>2501.1999999999998</v>
      </c>
      <c r="C30" s="441">
        <f t="shared" si="3"/>
        <v>4.299236895875902E-2</v>
      </c>
      <c r="D30" s="388">
        <v>1.018</v>
      </c>
      <c r="E30" s="370"/>
      <c r="F30" s="384"/>
      <c r="G30" s="384"/>
      <c r="H30" s="384"/>
      <c r="I30" s="384"/>
      <c r="J30" s="394"/>
      <c r="K30" s="435">
        <f t="shared" si="0"/>
        <v>450.61223898321379</v>
      </c>
      <c r="L30" s="441">
        <f t="shared" si="8"/>
        <v>2.1838160713596011E-2</v>
      </c>
      <c r="M30" s="435">
        <f t="shared" si="1"/>
        <v>485.96438401906971</v>
      </c>
      <c r="N30" s="441">
        <f t="shared" si="9"/>
        <v>4.9071690451677696E-2</v>
      </c>
      <c r="O30" s="407">
        <f t="shared" si="2"/>
        <v>453.47950667232186</v>
      </c>
      <c r="P30" s="441">
        <f t="shared" si="10"/>
        <v>3.346084574819419E-2</v>
      </c>
      <c r="Q30" s="396"/>
      <c r="R30" s="426">
        <f t="shared" si="13"/>
        <v>460624.43483138608</v>
      </c>
      <c r="S30" s="441">
        <f t="shared" si="14"/>
        <v>3.346084574819419E-2</v>
      </c>
      <c r="T30" s="425">
        <v>6.0499999999999998E-2</v>
      </c>
      <c r="U30" s="426">
        <f t="shared" si="7"/>
        <v>27867.778307298857</v>
      </c>
      <c r="V30" s="442">
        <f t="shared" si="12"/>
        <v>3.346084574819419E-2</v>
      </c>
      <c r="W30" s="372"/>
    </row>
    <row r="31" spans="1:23" x14ac:dyDescent="0.2">
      <c r="A31" s="385">
        <v>2020</v>
      </c>
      <c r="B31" s="386">
        <v>2608.6999999999998</v>
      </c>
      <c r="C31" s="441">
        <f t="shared" si="3"/>
        <v>4.2979369902446773E-2</v>
      </c>
      <c r="D31" s="388">
        <v>1.02</v>
      </c>
      <c r="E31" s="370"/>
      <c r="F31" s="384"/>
      <c r="G31" s="384"/>
      <c r="H31" s="384"/>
      <c r="I31" s="384"/>
      <c r="J31" s="394"/>
      <c r="K31" s="435">
        <f t="shared" si="0"/>
        <v>460.24247483930731</v>
      </c>
      <c r="L31" s="441">
        <f t="shared" si="8"/>
        <v>2.1371447606091998E-2</v>
      </c>
      <c r="M31" s="435">
        <f t="shared" si="1"/>
        <v>510.85483873491381</v>
      </c>
      <c r="N31" s="441">
        <f t="shared" si="9"/>
        <v>5.1218680904128622E-2</v>
      </c>
      <c r="O31" s="407">
        <f t="shared" si="2"/>
        <v>468.78863103402387</v>
      </c>
      <c r="P31" s="441">
        <f t="shared" si="10"/>
        <v>3.3759241898364767E-2</v>
      </c>
      <c r="Q31" s="396"/>
      <c r="R31" s="426">
        <f t="shared" si="13"/>
        <v>476174.76655115641</v>
      </c>
      <c r="S31" s="441">
        <f t="shared" si="14"/>
        <v>3.3759241898364767E-2</v>
      </c>
      <c r="T31" s="425">
        <v>6.0499999999999998E-2</v>
      </c>
      <c r="U31" s="426">
        <f t="shared" si="7"/>
        <v>28808.573376344961</v>
      </c>
      <c r="V31" s="442">
        <f t="shared" si="12"/>
        <v>3.3759241898364767E-2</v>
      </c>
    </row>
    <row r="32" spans="1:23" x14ac:dyDescent="0.2">
      <c r="A32" s="385">
        <v>2021</v>
      </c>
      <c r="B32" s="386">
        <v>2720.9</v>
      </c>
      <c r="C32" s="441">
        <f t="shared" si="3"/>
        <v>4.3009928316786183E-2</v>
      </c>
      <c r="D32" s="388">
        <v>1.02</v>
      </c>
      <c r="E32" s="370"/>
      <c r="F32" s="384"/>
      <c r="G32" s="384"/>
      <c r="H32" s="384"/>
      <c r="I32" s="384"/>
      <c r="J32" s="394"/>
      <c r="K32" s="435">
        <f t="shared" si="0"/>
        <v>469.87271069540077</v>
      </c>
      <c r="L32" s="441">
        <f t="shared" si="8"/>
        <v>2.0924265756774973E-2</v>
      </c>
      <c r="M32" s="435">
        <f t="shared" si="1"/>
        <v>538.19421159104627</v>
      </c>
      <c r="N32" s="441">
        <f t="shared" si="9"/>
        <v>5.3516910838773635E-2</v>
      </c>
      <c r="O32" s="407">
        <f t="shared" si="2"/>
        <v>484.7670845538654</v>
      </c>
      <c r="P32" s="441">
        <f t="shared" si="10"/>
        <v>3.4084558502618378E-2</v>
      </c>
      <c r="Q32" s="396"/>
      <c r="R32" s="426">
        <f t="shared" si="13"/>
        <v>492404.97323913994</v>
      </c>
      <c r="S32" s="441">
        <f t="shared" si="14"/>
        <v>3.4084558502618378E-2</v>
      </c>
      <c r="T32" s="425">
        <v>6.0499999999999998E-2</v>
      </c>
      <c r="U32" s="426">
        <f t="shared" si="7"/>
        <v>29790.500880967968</v>
      </c>
      <c r="V32" s="442">
        <f t="shared" si="12"/>
        <v>3.4084558502618378E-2</v>
      </c>
    </row>
    <row r="33" spans="1:24" x14ac:dyDescent="0.2">
      <c r="A33" s="385"/>
      <c r="B33" s="386"/>
      <c r="C33" s="389"/>
      <c r="D33" s="388"/>
      <c r="E33" s="370"/>
      <c r="F33" s="384"/>
      <c r="G33" s="384"/>
      <c r="H33" s="384"/>
      <c r="I33" s="384"/>
      <c r="J33" s="394"/>
      <c r="K33" s="430"/>
      <c r="L33" s="392"/>
      <c r="M33" s="430"/>
      <c r="N33" s="392"/>
      <c r="O33" s="430"/>
      <c r="P33" s="392"/>
      <c r="Q33" s="396"/>
      <c r="R33" s="431"/>
      <c r="S33" s="432"/>
      <c r="T33" s="433"/>
      <c r="U33" s="431"/>
      <c r="V33" s="434"/>
    </row>
    <row r="34" spans="1:24" x14ac:dyDescent="0.2">
      <c r="A34" s="373"/>
      <c r="B34" s="370"/>
      <c r="C34" s="374"/>
      <c r="D34" s="374"/>
      <c r="E34" s="370"/>
      <c r="F34" s="384"/>
      <c r="G34" s="384"/>
      <c r="H34" s="531" t="s">
        <v>900</v>
      </c>
      <c r="I34" s="429"/>
      <c r="J34" s="429"/>
      <c r="K34" s="525">
        <f>F99</f>
        <v>0.96735901344199082</v>
      </c>
      <c r="L34" s="526"/>
      <c r="M34" s="525">
        <f>F140</f>
        <v>0.97972524441905295</v>
      </c>
      <c r="N34" s="526"/>
      <c r="O34" s="525">
        <f>F182</f>
        <v>0.97218794158996413</v>
      </c>
      <c r="P34" s="428"/>
      <c r="Q34" s="397"/>
      <c r="R34" s="375"/>
      <c r="S34" s="375"/>
      <c r="T34" s="376"/>
      <c r="U34" s="371"/>
      <c r="V34" s="377"/>
    </row>
    <row r="35" spans="1:24" ht="12.75" customHeight="1" x14ac:dyDescent="0.2">
      <c r="C35" s="378"/>
      <c r="D35" s="378"/>
      <c r="F35" s="399"/>
      <c r="G35" s="399"/>
      <c r="H35" s="531" t="s">
        <v>901</v>
      </c>
      <c r="I35" s="429"/>
      <c r="J35" s="429"/>
      <c r="K35" s="525">
        <f>F97</f>
        <v>0.98437343664378274</v>
      </c>
      <c r="L35" s="526"/>
      <c r="M35" s="525">
        <f>F138</f>
        <v>0.99032266569946803</v>
      </c>
      <c r="N35" s="526"/>
      <c r="O35" s="525">
        <f>F180</f>
        <v>0.98670083840567702</v>
      </c>
      <c r="P35" s="428"/>
      <c r="Q35" s="397"/>
      <c r="R35" s="375"/>
      <c r="S35" s="375"/>
    </row>
    <row r="36" spans="1:24" x14ac:dyDescent="0.2">
      <c r="C36" s="378"/>
      <c r="D36" s="378"/>
      <c r="F36" s="399"/>
      <c r="G36" s="399"/>
      <c r="H36" s="427"/>
      <c r="I36" s="427"/>
      <c r="J36" s="427"/>
      <c r="K36" s="443"/>
      <c r="L36" s="397"/>
      <c r="M36" s="443"/>
      <c r="N36" s="397"/>
      <c r="O36" s="443"/>
      <c r="P36" s="397"/>
      <c r="Q36" s="397"/>
      <c r="R36" s="375"/>
      <c r="S36" s="375"/>
    </row>
    <row r="37" spans="1:24" ht="15" customHeight="1" x14ac:dyDescent="0.25">
      <c r="A37" s="223" t="s">
        <v>902</v>
      </c>
      <c r="B37" s="223"/>
      <c r="C37" s="223"/>
      <c r="D37" s="223"/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</row>
    <row r="38" spans="1:24" s="390" customFormat="1" ht="15" x14ac:dyDescent="0.25">
      <c r="A38" s="364"/>
      <c r="B38" s="364"/>
      <c r="C38" s="364"/>
      <c r="D38" s="364"/>
      <c r="E38" s="364"/>
      <c r="F38" s="364"/>
      <c r="G38" s="364"/>
      <c r="H38" s="364"/>
      <c r="I38" s="364"/>
      <c r="J38" s="364"/>
      <c r="K38" s="364"/>
      <c r="L38" s="364"/>
      <c r="M38" s="364"/>
      <c r="N38" s="364"/>
      <c r="O38" s="364"/>
      <c r="P38" s="364"/>
      <c r="Q38" s="364"/>
      <c r="R38" s="364"/>
      <c r="S38" s="364"/>
      <c r="T38" s="364"/>
      <c r="U38" s="364"/>
      <c r="V38" s="364"/>
      <c r="W38" s="364"/>
      <c r="X38" s="364"/>
    </row>
    <row r="39" spans="1:24" ht="12.95" customHeight="1" x14ac:dyDescent="0.2">
      <c r="A39" s="448" t="s">
        <v>903</v>
      </c>
      <c r="B39" s="445"/>
      <c r="C39" s="446">
        <f>(B26/B6)^(1/20)-1</f>
        <v>5.171615567736465E-2</v>
      </c>
      <c r="D39" s="447">
        <f>GEOMEAN(D6:D26)</f>
        <v>1.0356363390649963</v>
      </c>
      <c r="E39" s="444"/>
      <c r="F39" s="446">
        <f>(F26/F6)^(1/20)-1</f>
        <v>3.3390773682458796E-2</v>
      </c>
      <c r="G39" s="446">
        <f>(G26/G6)^(1/20)-1</f>
        <v>1.0170606333577137E-3</v>
      </c>
      <c r="H39" s="445"/>
      <c r="I39" s="449">
        <f>(H26/H6)^(1/20)-1</f>
        <v>3.444179475724618E-2</v>
      </c>
      <c r="J39" s="452"/>
      <c r="K39" s="455"/>
      <c r="L39" s="446">
        <f>(K26/K6)^(1/20)-1</f>
        <v>3.1998993295014655E-2</v>
      </c>
      <c r="M39" s="455"/>
      <c r="N39" s="446">
        <f>(M26/M6)^(1/20)-1</f>
        <v>3.1621374869813756E-2</v>
      </c>
      <c r="O39" s="456"/>
      <c r="P39" s="449">
        <f>(O26/O6)^(1/20)-1</f>
        <v>3.3220560795458987E-2</v>
      </c>
      <c r="Q39" s="452"/>
      <c r="R39" s="453"/>
      <c r="S39" s="449">
        <f>(R26/R6)^(1/20)-1</f>
        <v>3.444179475724618E-2</v>
      </c>
      <c r="T39" s="445"/>
      <c r="U39" s="458"/>
      <c r="V39" s="449">
        <f>(U26/U6)^(1/20)-1</f>
        <v>3.4185564586253214E-2</v>
      </c>
    </row>
    <row r="40" spans="1:24" ht="12.95" customHeight="1" x14ac:dyDescent="0.25">
      <c r="A40" s="448" t="s">
        <v>904</v>
      </c>
      <c r="B40" s="445"/>
      <c r="C40" s="446">
        <f>(B32/B26)^(1/6)-1</f>
        <v>4.333115277683719E-2</v>
      </c>
      <c r="D40" s="447">
        <f>GEOMEAN(D27:D32)</f>
        <v>1.0151527621079006</v>
      </c>
      <c r="E40" s="444"/>
      <c r="F40" s="450"/>
      <c r="G40" s="450"/>
      <c r="H40" s="450"/>
      <c r="I40" s="451"/>
      <c r="J40" s="454"/>
      <c r="K40" s="455"/>
      <c r="L40" s="446">
        <f>(K32/K26)^(1/6)-1</f>
        <v>2.21103756681853E-2</v>
      </c>
      <c r="M40" s="455"/>
      <c r="N40" s="446">
        <f>(M32/M26)^(1/6)-1</f>
        <v>4.8486909006923096E-2</v>
      </c>
      <c r="O40" s="451"/>
      <c r="P40" s="449">
        <f>(O32/O26)^(1/6)-1</f>
        <v>3.3546628885633645E-2</v>
      </c>
      <c r="Q40" s="452"/>
      <c r="R40" s="457"/>
      <c r="S40" s="449">
        <f>(R32/R26)^(1/6)-1</f>
        <v>3.3546628885633645E-2</v>
      </c>
      <c r="T40" s="445"/>
      <c r="U40" s="458"/>
      <c r="V40" s="449">
        <f>(U32/U26)^(1/6)-1</f>
        <v>3.383162732988243E-2</v>
      </c>
      <c r="X40" s="379"/>
    </row>
    <row r="41" spans="1:24" ht="15" x14ac:dyDescent="0.25">
      <c r="F41" s="380"/>
      <c r="G41" s="380"/>
      <c r="H41" s="380"/>
      <c r="I41" s="380"/>
      <c r="J41" s="395"/>
      <c r="K41" s="379"/>
      <c r="L41" s="379"/>
      <c r="M41" s="379"/>
      <c r="N41" s="379"/>
      <c r="O41" s="379"/>
      <c r="P41" s="379"/>
      <c r="Q41" s="398"/>
      <c r="R41" s="379"/>
      <c r="S41" s="379"/>
      <c r="T41" s="379"/>
    </row>
    <row r="42" spans="1:24" ht="15" x14ac:dyDescent="0.25">
      <c r="A42" s="462" t="s">
        <v>905</v>
      </c>
      <c r="B42" s="463"/>
      <c r="C42" s="463"/>
      <c r="D42" s="463"/>
      <c r="E42" s="463"/>
      <c r="F42" s="459" t="s">
        <v>906</v>
      </c>
      <c r="G42" s="460"/>
      <c r="H42" s="460"/>
      <c r="I42" s="460"/>
      <c r="J42" s="395"/>
      <c r="K42" s="379"/>
      <c r="L42" s="381"/>
      <c r="M42" s="379"/>
      <c r="N42" s="379"/>
      <c r="O42" s="379"/>
      <c r="P42" s="379"/>
      <c r="Q42" s="398"/>
      <c r="R42" s="379"/>
      <c r="S42" s="379"/>
      <c r="T42" s="379"/>
    </row>
    <row r="43" spans="1:24" ht="15" x14ac:dyDescent="0.25">
      <c r="G43" s="380"/>
      <c r="H43" s="380"/>
      <c r="I43" s="380"/>
      <c r="J43" s="395"/>
      <c r="K43" s="379"/>
      <c r="L43" s="381"/>
      <c r="M43" s="379"/>
      <c r="N43" s="379"/>
      <c r="O43" s="379"/>
      <c r="P43" s="379"/>
      <c r="Q43" s="398"/>
      <c r="R43" s="379"/>
      <c r="S43" s="379"/>
      <c r="T43" s="379"/>
    </row>
    <row r="44" spans="1:24" ht="14.25" x14ac:dyDescent="0.2">
      <c r="A44" s="462" t="s">
        <v>907</v>
      </c>
      <c r="B44" s="463"/>
      <c r="C44" s="463"/>
      <c r="D44" s="463"/>
      <c r="E44" s="463"/>
      <c r="F44" s="461" t="s">
        <v>908</v>
      </c>
      <c r="G44" s="459"/>
      <c r="H44" s="459"/>
      <c r="I44" s="459"/>
      <c r="L44" s="381"/>
    </row>
    <row r="45" spans="1:24" x14ac:dyDescent="0.2">
      <c r="L45" s="381"/>
    </row>
    <row r="46" spans="1:24" x14ac:dyDescent="0.2">
      <c r="A46" s="462" t="s">
        <v>909</v>
      </c>
      <c r="B46" s="463"/>
      <c r="C46" s="463"/>
      <c r="D46" s="463"/>
      <c r="E46" s="463"/>
      <c r="F46" s="459" t="s">
        <v>910</v>
      </c>
      <c r="G46" s="459"/>
      <c r="H46" s="459"/>
      <c r="I46" s="459"/>
      <c r="L46" s="382"/>
    </row>
    <row r="48" spans="1:24" ht="14.25" x14ac:dyDescent="0.2">
      <c r="A48" s="462" t="s">
        <v>911</v>
      </c>
      <c r="B48" s="463"/>
      <c r="C48" s="463"/>
      <c r="D48" s="463"/>
      <c r="E48" s="463"/>
      <c r="F48" s="459" t="s">
        <v>912</v>
      </c>
      <c r="G48" s="459"/>
      <c r="H48" s="459"/>
      <c r="I48" s="459"/>
    </row>
    <row r="49" spans="6:15" x14ac:dyDescent="0.2">
      <c r="F49" s="459" t="s">
        <v>913</v>
      </c>
      <c r="G49" s="459"/>
      <c r="H49" s="459"/>
      <c r="I49" s="459"/>
      <c r="J49" s="459"/>
      <c r="K49" s="459"/>
      <c r="L49" s="459"/>
      <c r="M49" s="459"/>
      <c r="N49" s="459"/>
      <c r="O49" s="459"/>
    </row>
    <row r="70" spans="1:24" ht="15" x14ac:dyDescent="0.25">
      <c r="A70" s="223" t="s">
        <v>915</v>
      </c>
      <c r="B70" s="223"/>
      <c r="C70" s="223"/>
      <c r="D70" s="223"/>
      <c r="E70" s="223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</row>
    <row r="72" spans="1:24" ht="36.75" customHeight="1" x14ac:dyDescent="0.2">
      <c r="A72" s="254" t="s">
        <v>307</v>
      </c>
      <c r="B72" s="254" t="s">
        <v>894</v>
      </c>
      <c r="C72" s="254" t="s">
        <v>916</v>
      </c>
    </row>
    <row r="73" spans="1:24" ht="15" x14ac:dyDescent="0.25">
      <c r="A73" s="410">
        <f t="shared" ref="A73:A93" si="15">A6</f>
        <v>1995</v>
      </c>
      <c r="B73" s="411">
        <f t="shared" ref="B73:B93" si="16">H6</f>
        <v>205.220527535</v>
      </c>
      <c r="C73" s="410">
        <v>1</v>
      </c>
    </row>
    <row r="74" spans="1:24" ht="15" x14ac:dyDescent="0.25">
      <c r="A74" s="410">
        <f t="shared" si="15"/>
        <v>1996</v>
      </c>
      <c r="B74" s="411">
        <f t="shared" si="16"/>
        <v>232.79688650400001</v>
      </c>
      <c r="C74" s="410">
        <v>2</v>
      </c>
    </row>
    <row r="75" spans="1:24" ht="15" x14ac:dyDescent="0.25">
      <c r="A75" s="410">
        <f t="shared" si="15"/>
        <v>1997</v>
      </c>
      <c r="B75" s="411">
        <f t="shared" si="16"/>
        <v>250.01787313</v>
      </c>
      <c r="C75" s="410">
        <v>3</v>
      </c>
    </row>
    <row r="76" spans="1:24" ht="15" x14ac:dyDescent="0.25">
      <c r="A76" s="410">
        <f t="shared" si="15"/>
        <v>1998</v>
      </c>
      <c r="B76" s="411">
        <f t="shared" si="16"/>
        <v>265.66100411500003</v>
      </c>
      <c r="C76" s="410">
        <v>4</v>
      </c>
    </row>
    <row r="77" spans="1:24" ht="15" x14ac:dyDescent="0.25">
      <c r="A77" s="410">
        <f t="shared" si="15"/>
        <v>1999</v>
      </c>
      <c r="B77" s="411">
        <f t="shared" si="16"/>
        <v>262.15957808000002</v>
      </c>
      <c r="C77" s="410">
        <v>5</v>
      </c>
    </row>
    <row r="78" spans="1:24" ht="15" x14ac:dyDescent="0.25">
      <c r="A78" s="410">
        <f t="shared" si="15"/>
        <v>2000</v>
      </c>
      <c r="B78" s="411">
        <f t="shared" si="16"/>
        <v>265.36956999900002</v>
      </c>
      <c r="C78" s="410">
        <v>6</v>
      </c>
    </row>
    <row r="79" spans="1:24" ht="15" x14ac:dyDescent="0.25">
      <c r="A79" s="410">
        <f t="shared" si="15"/>
        <v>2001</v>
      </c>
      <c r="B79" s="411">
        <f t="shared" si="16"/>
        <v>277.93443532800001</v>
      </c>
      <c r="C79" s="410">
        <v>7</v>
      </c>
    </row>
    <row r="80" spans="1:24" ht="15" x14ac:dyDescent="0.25">
      <c r="A80" s="410">
        <f t="shared" si="15"/>
        <v>2002</v>
      </c>
      <c r="B80" s="411">
        <f t="shared" si="16"/>
        <v>280.52128499999998</v>
      </c>
      <c r="C80" s="410">
        <v>8</v>
      </c>
    </row>
    <row r="81" spans="1:4" ht="15" x14ac:dyDescent="0.25">
      <c r="A81" s="410">
        <f t="shared" si="15"/>
        <v>2003</v>
      </c>
      <c r="B81" s="411">
        <f t="shared" si="16"/>
        <v>285.901269275</v>
      </c>
      <c r="C81" s="410">
        <v>9</v>
      </c>
    </row>
    <row r="82" spans="1:4" ht="15" x14ac:dyDescent="0.25">
      <c r="A82" s="410">
        <f t="shared" si="15"/>
        <v>2004</v>
      </c>
      <c r="B82" s="411">
        <f t="shared" si="16"/>
        <v>292.50999933399999</v>
      </c>
      <c r="C82" s="410">
        <v>10</v>
      </c>
    </row>
    <row r="83" spans="1:4" ht="15" x14ac:dyDescent="0.25">
      <c r="A83" s="410">
        <f t="shared" si="15"/>
        <v>2005</v>
      </c>
      <c r="B83" s="411">
        <f t="shared" si="16"/>
        <v>298.40565453599999</v>
      </c>
      <c r="C83" s="410">
        <v>11</v>
      </c>
    </row>
    <row r="84" spans="1:4" ht="15" x14ac:dyDescent="0.25">
      <c r="A84" s="410">
        <f t="shared" si="15"/>
        <v>2006</v>
      </c>
      <c r="B84" s="411">
        <f t="shared" si="16"/>
        <v>318.77935830000001</v>
      </c>
      <c r="C84" s="410">
        <v>12</v>
      </c>
    </row>
    <row r="85" spans="1:4" ht="15" x14ac:dyDescent="0.25">
      <c r="A85" s="410">
        <f t="shared" si="15"/>
        <v>2007</v>
      </c>
      <c r="B85" s="411">
        <f t="shared" si="16"/>
        <v>334.38286477700001</v>
      </c>
      <c r="C85" s="410">
        <v>13</v>
      </c>
    </row>
    <row r="86" spans="1:4" ht="15" x14ac:dyDescent="0.25">
      <c r="A86" s="410">
        <f t="shared" si="15"/>
        <v>2008</v>
      </c>
      <c r="B86" s="411">
        <f t="shared" si="16"/>
        <v>363.53734435199999</v>
      </c>
      <c r="C86" s="410">
        <v>14</v>
      </c>
    </row>
    <row r="87" spans="1:4" ht="15" x14ac:dyDescent="0.25">
      <c r="A87" s="410">
        <f t="shared" si="15"/>
        <v>2009</v>
      </c>
      <c r="B87" s="411">
        <f t="shared" si="16"/>
        <v>376.18293715200002</v>
      </c>
      <c r="C87" s="410">
        <v>15</v>
      </c>
    </row>
    <row r="88" spans="1:4" ht="15" x14ac:dyDescent="0.25">
      <c r="A88" s="410">
        <f t="shared" si="15"/>
        <v>2010</v>
      </c>
      <c r="B88" s="411">
        <f t="shared" si="16"/>
        <v>368.08261050599998</v>
      </c>
      <c r="C88" s="410">
        <v>16</v>
      </c>
    </row>
    <row r="89" spans="1:4" ht="15" x14ac:dyDescent="0.25">
      <c r="A89" s="410">
        <f t="shared" si="15"/>
        <v>2011</v>
      </c>
      <c r="B89" s="411">
        <f t="shared" si="16"/>
        <v>370.31209148800002</v>
      </c>
      <c r="C89" s="410">
        <v>17</v>
      </c>
    </row>
    <row r="90" spans="1:4" ht="15" x14ac:dyDescent="0.25">
      <c r="A90" s="410">
        <f t="shared" si="15"/>
        <v>2012</v>
      </c>
      <c r="B90" s="411">
        <f t="shared" si="16"/>
        <v>385.34398976199998</v>
      </c>
      <c r="C90" s="410">
        <v>18</v>
      </c>
    </row>
    <row r="91" spans="1:4" ht="15" x14ac:dyDescent="0.25">
      <c r="A91" s="410">
        <f t="shared" si="15"/>
        <v>2013</v>
      </c>
      <c r="B91" s="411">
        <f t="shared" si="16"/>
        <v>392.73301543500003</v>
      </c>
      <c r="C91" s="410">
        <v>19</v>
      </c>
    </row>
    <row r="92" spans="1:4" ht="15" x14ac:dyDescent="0.25">
      <c r="A92" s="410">
        <f t="shared" si="15"/>
        <v>2014</v>
      </c>
      <c r="B92" s="411">
        <f t="shared" si="16"/>
        <v>401.75201667599998</v>
      </c>
      <c r="C92" s="410">
        <v>20</v>
      </c>
    </row>
    <row r="93" spans="1:4" ht="15" x14ac:dyDescent="0.25">
      <c r="A93" s="410">
        <f t="shared" si="15"/>
        <v>2015</v>
      </c>
      <c r="B93" s="411">
        <f t="shared" si="16"/>
        <v>403.96336567200001</v>
      </c>
      <c r="C93" s="410">
        <v>21</v>
      </c>
    </row>
    <row r="96" spans="1:4" x14ac:dyDescent="0.2">
      <c r="A96" s="412" t="s">
        <v>917</v>
      </c>
      <c r="B96" s="254"/>
      <c r="C96" s="254"/>
      <c r="D96" s="254"/>
    </row>
    <row r="97" spans="1:24" x14ac:dyDescent="0.2">
      <c r="A97" s="413" t="s">
        <v>918</v>
      </c>
      <c r="B97" s="385"/>
      <c r="C97" s="385"/>
      <c r="D97" s="385"/>
      <c r="F97" s="414">
        <v>0.98437343664378274</v>
      </c>
      <c r="G97" s="417" t="s">
        <v>923</v>
      </c>
    </row>
    <row r="98" spans="1:24" x14ac:dyDescent="0.2">
      <c r="A98" s="413" t="s">
        <v>919</v>
      </c>
      <c r="B98" s="385"/>
      <c r="C98" s="385"/>
      <c r="D98" s="385"/>
      <c r="F98" s="414">
        <v>0.96899106276989133</v>
      </c>
      <c r="G98" s="417" t="s">
        <v>924</v>
      </c>
    </row>
    <row r="99" spans="1:24" x14ac:dyDescent="0.2">
      <c r="A99" s="413" t="s">
        <v>920</v>
      </c>
      <c r="B99" s="385"/>
      <c r="C99" s="385"/>
      <c r="D99" s="385"/>
      <c r="F99" s="414">
        <v>0.96735901344199082</v>
      </c>
      <c r="G99" s="417" t="s">
        <v>925</v>
      </c>
    </row>
    <row r="100" spans="1:24" x14ac:dyDescent="0.2">
      <c r="A100" s="416" t="s">
        <v>921</v>
      </c>
      <c r="B100" s="385"/>
      <c r="C100" s="385"/>
      <c r="D100" s="385"/>
      <c r="F100" s="415">
        <v>10.967030240107336</v>
      </c>
    </row>
    <row r="101" spans="1:24" x14ac:dyDescent="0.2">
      <c r="A101" s="416" t="s">
        <v>922</v>
      </c>
      <c r="B101" s="385"/>
      <c r="C101" s="385"/>
      <c r="D101" s="385"/>
      <c r="F101" s="415">
        <v>21</v>
      </c>
    </row>
    <row r="103" spans="1:24" x14ac:dyDescent="0.2">
      <c r="A103" s="412"/>
      <c r="B103" s="319" t="s">
        <v>928</v>
      </c>
      <c r="C103" s="319" t="s">
        <v>929</v>
      </c>
      <c r="D103" s="319" t="s">
        <v>930</v>
      </c>
      <c r="E103" s="319" t="s">
        <v>931</v>
      </c>
      <c r="F103" s="319" t="s">
        <v>932</v>
      </c>
    </row>
    <row r="104" spans="1:24" ht="15" x14ac:dyDescent="0.25">
      <c r="A104" s="416" t="s">
        <v>926</v>
      </c>
      <c r="B104" s="410">
        <v>1</v>
      </c>
      <c r="C104" s="422">
        <v>71410.910835871531</v>
      </c>
      <c r="D104" s="422">
        <v>71410.910835871531</v>
      </c>
      <c r="E104" s="422">
        <v>593.72657811540796</v>
      </c>
      <c r="F104" s="418">
        <v>8.5537670363307682E-16</v>
      </c>
    </row>
    <row r="105" spans="1:24" ht="15" x14ac:dyDescent="0.25">
      <c r="A105" s="416" t="s">
        <v>927</v>
      </c>
      <c r="B105" s="410">
        <v>19</v>
      </c>
      <c r="C105" s="422">
        <v>2285.2392934611466</v>
      </c>
      <c r="D105" s="422">
        <v>120.27575228742877</v>
      </c>
      <c r="E105" s="422"/>
      <c r="F105" s="418"/>
    </row>
    <row r="106" spans="1:24" ht="15" x14ac:dyDescent="0.25">
      <c r="A106" s="416" t="s">
        <v>548</v>
      </c>
      <c r="B106" s="410">
        <v>20</v>
      </c>
      <c r="C106" s="422">
        <v>73696.150129332673</v>
      </c>
      <c r="D106" s="422"/>
      <c r="E106" s="422"/>
      <c r="F106" s="418"/>
    </row>
    <row r="107" spans="1:24" ht="15" x14ac:dyDescent="0.25">
      <c r="A107"/>
      <c r="F107" s="419"/>
    </row>
    <row r="108" spans="1:24" ht="30" customHeight="1" x14ac:dyDescent="0.2">
      <c r="A108" s="437"/>
      <c r="B108" s="319" t="s">
        <v>933</v>
      </c>
      <c r="C108" s="254" t="s">
        <v>921</v>
      </c>
      <c r="D108" s="319" t="s">
        <v>934</v>
      </c>
      <c r="E108" s="319" t="s">
        <v>935</v>
      </c>
      <c r="F108" s="319" t="s">
        <v>936</v>
      </c>
      <c r="G108" s="319" t="s">
        <v>937</v>
      </c>
      <c r="H108" s="319" t="s">
        <v>938</v>
      </c>
      <c r="I108" s="319" t="s">
        <v>939</v>
      </c>
    </row>
    <row r="109" spans="1:24" ht="15" x14ac:dyDescent="0.25">
      <c r="A109" s="420" t="s">
        <v>940</v>
      </c>
      <c r="B109" s="421">
        <v>209.85634258087617</v>
      </c>
      <c r="C109" s="423">
        <v>4.9626497090813224</v>
      </c>
      <c r="D109" s="423">
        <v>42.287156032160176</v>
      </c>
      <c r="E109" s="418">
        <v>2.9209159496988929E-20</v>
      </c>
      <c r="F109" s="423">
        <v>199.46939738876372</v>
      </c>
      <c r="G109" s="423">
        <v>220.24328777298862</v>
      </c>
      <c r="H109" s="423">
        <v>199.46939738876372</v>
      </c>
      <c r="I109" s="423">
        <v>220.24328777298862</v>
      </c>
    </row>
    <row r="110" spans="1:24" ht="15" x14ac:dyDescent="0.25">
      <c r="A110" s="420" t="s">
        <v>307</v>
      </c>
      <c r="B110" s="421">
        <v>9.6302358560935044</v>
      </c>
      <c r="C110" s="423">
        <v>0.39522433591311074</v>
      </c>
      <c r="D110" s="423">
        <v>24.366505250351516</v>
      </c>
      <c r="E110" s="418">
        <v>8.5537670363307682E-16</v>
      </c>
      <c r="F110" s="423">
        <v>8.8030218159394451</v>
      </c>
      <c r="G110" s="423">
        <v>10.457449896247564</v>
      </c>
      <c r="H110" s="423">
        <v>8.8030218159394451</v>
      </c>
      <c r="I110" s="423">
        <v>10.457449896247564</v>
      </c>
    </row>
    <row r="112" spans="1:24" ht="15" x14ac:dyDescent="0.25">
      <c r="A112" s="223" t="s">
        <v>941</v>
      </c>
      <c r="B112" s="223"/>
      <c r="C112" s="223"/>
      <c r="D112" s="223"/>
      <c r="E112" s="223"/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</row>
    <row r="114" spans="1:4" ht="36" x14ac:dyDescent="0.2">
      <c r="A114" s="254" t="s">
        <v>307</v>
      </c>
      <c r="B114" s="254" t="s">
        <v>894</v>
      </c>
      <c r="C114" s="254" t="s">
        <v>942</v>
      </c>
      <c r="D114" s="254" t="s">
        <v>943</v>
      </c>
    </row>
    <row r="115" spans="1:4" ht="15" x14ac:dyDescent="0.25">
      <c r="A115" s="410">
        <f>A73</f>
        <v>1995</v>
      </c>
      <c r="B115" s="411">
        <f>B73</f>
        <v>205.220527535</v>
      </c>
      <c r="C115" s="440">
        <f t="shared" ref="C115:C135" si="17">B6</f>
        <v>769.5</v>
      </c>
      <c r="D115" s="439">
        <f>LN(B115)</f>
        <v>5.324085145013548</v>
      </c>
    </row>
    <row r="116" spans="1:4" ht="15" x14ac:dyDescent="0.25">
      <c r="A116" s="410">
        <f t="shared" ref="A116:B135" si="18">A74</f>
        <v>1996</v>
      </c>
      <c r="B116" s="411">
        <f t="shared" si="18"/>
        <v>232.79688650400001</v>
      </c>
      <c r="C116" s="440">
        <f t="shared" si="17"/>
        <v>892</v>
      </c>
      <c r="D116" s="439">
        <f t="shared" ref="D116:D135" si="19">LN(B116)</f>
        <v>5.4501663416441373</v>
      </c>
    </row>
    <row r="117" spans="1:4" ht="15" x14ac:dyDescent="0.25">
      <c r="A117" s="410">
        <f t="shared" si="18"/>
        <v>1997</v>
      </c>
      <c r="B117" s="411">
        <f t="shared" si="18"/>
        <v>250.01787313</v>
      </c>
      <c r="C117" s="440">
        <f t="shared" si="17"/>
        <v>997.4</v>
      </c>
      <c r="D117" s="439">
        <f t="shared" si="19"/>
        <v>5.5215324078267782</v>
      </c>
    </row>
    <row r="118" spans="1:4" ht="15" x14ac:dyDescent="0.25">
      <c r="A118" s="410">
        <f t="shared" si="18"/>
        <v>1998</v>
      </c>
      <c r="B118" s="411">
        <f t="shared" si="18"/>
        <v>265.66100411500003</v>
      </c>
      <c r="C118" s="440">
        <f t="shared" si="17"/>
        <v>1075.0999999999999</v>
      </c>
      <c r="D118" s="439">
        <f t="shared" si="19"/>
        <v>5.5822210753968307</v>
      </c>
    </row>
    <row r="119" spans="1:4" ht="15" x14ac:dyDescent="0.25">
      <c r="A119" s="410">
        <f t="shared" si="18"/>
        <v>1999</v>
      </c>
      <c r="B119" s="411">
        <f t="shared" si="18"/>
        <v>262.15957808000002</v>
      </c>
      <c r="C119" s="440">
        <f t="shared" si="17"/>
        <v>1132.9000000000001</v>
      </c>
      <c r="D119" s="439">
        <f t="shared" si="19"/>
        <v>5.568953394990424</v>
      </c>
    </row>
    <row r="120" spans="1:4" ht="15" x14ac:dyDescent="0.25">
      <c r="A120" s="410">
        <f t="shared" si="18"/>
        <v>2000</v>
      </c>
      <c r="B120" s="411">
        <f t="shared" si="18"/>
        <v>265.36956999900002</v>
      </c>
      <c r="C120" s="440">
        <f t="shared" si="17"/>
        <v>1191.0999999999999</v>
      </c>
      <c r="D120" s="439">
        <f t="shared" si="19"/>
        <v>5.5811234581993823</v>
      </c>
    </row>
    <row r="121" spans="1:4" ht="15" x14ac:dyDescent="0.25">
      <c r="A121" s="410">
        <f t="shared" si="18"/>
        <v>2001</v>
      </c>
      <c r="B121" s="411">
        <f t="shared" si="18"/>
        <v>277.93443532800001</v>
      </c>
      <c r="C121" s="440">
        <f t="shared" si="17"/>
        <v>1270.0999999999999</v>
      </c>
      <c r="D121" s="439">
        <f t="shared" si="19"/>
        <v>5.6273852417311483</v>
      </c>
    </row>
    <row r="122" spans="1:4" ht="15" x14ac:dyDescent="0.25">
      <c r="A122" s="410">
        <f t="shared" si="18"/>
        <v>2002</v>
      </c>
      <c r="B122" s="411">
        <f t="shared" si="18"/>
        <v>280.52128499999998</v>
      </c>
      <c r="C122" s="440">
        <f t="shared" si="17"/>
        <v>1325.4</v>
      </c>
      <c r="D122" s="439">
        <f t="shared" si="19"/>
        <v>5.636649604436772</v>
      </c>
    </row>
    <row r="123" spans="1:4" ht="15" x14ac:dyDescent="0.25">
      <c r="A123" s="410">
        <f t="shared" si="18"/>
        <v>2003</v>
      </c>
      <c r="B123" s="411">
        <f t="shared" si="18"/>
        <v>285.901269275</v>
      </c>
      <c r="C123" s="440">
        <f t="shared" si="17"/>
        <v>1390.4</v>
      </c>
      <c r="D123" s="439">
        <f t="shared" si="19"/>
        <v>5.6556465388951862</v>
      </c>
    </row>
    <row r="124" spans="1:4" ht="15" x14ac:dyDescent="0.25">
      <c r="A124" s="410">
        <f t="shared" si="18"/>
        <v>2004</v>
      </c>
      <c r="B124" s="411">
        <f t="shared" si="18"/>
        <v>292.50999933399999</v>
      </c>
      <c r="C124" s="440">
        <f t="shared" si="17"/>
        <v>1481.5</v>
      </c>
      <c r="D124" s="439">
        <f t="shared" si="19"/>
        <v>5.6784988518448563</v>
      </c>
    </row>
    <row r="125" spans="1:4" ht="15" x14ac:dyDescent="0.25">
      <c r="A125" s="410">
        <f t="shared" si="18"/>
        <v>2005</v>
      </c>
      <c r="B125" s="411">
        <f t="shared" si="18"/>
        <v>298.40565453599999</v>
      </c>
      <c r="C125" s="440">
        <f t="shared" si="17"/>
        <v>1544.7</v>
      </c>
      <c r="D125" s="439">
        <f t="shared" si="19"/>
        <v>5.6984538176674926</v>
      </c>
    </row>
    <row r="126" spans="1:4" ht="15" x14ac:dyDescent="0.25">
      <c r="A126" s="410">
        <f t="shared" si="18"/>
        <v>2006</v>
      </c>
      <c r="B126" s="411">
        <f t="shared" si="18"/>
        <v>318.77935830000001</v>
      </c>
      <c r="C126" s="440">
        <f t="shared" si="17"/>
        <v>1631</v>
      </c>
      <c r="D126" s="439">
        <f t="shared" si="19"/>
        <v>5.7644991967018679</v>
      </c>
    </row>
    <row r="127" spans="1:4" ht="15" x14ac:dyDescent="0.25">
      <c r="A127" s="410">
        <f t="shared" si="18"/>
        <v>2007</v>
      </c>
      <c r="B127" s="411">
        <f t="shared" si="18"/>
        <v>334.38286477700001</v>
      </c>
      <c r="C127" s="440">
        <f t="shared" si="17"/>
        <v>1749.5</v>
      </c>
      <c r="D127" s="439">
        <f t="shared" si="19"/>
        <v>5.8122866382020719</v>
      </c>
    </row>
    <row r="128" spans="1:4" ht="15" x14ac:dyDescent="0.25">
      <c r="A128" s="410">
        <f t="shared" si="18"/>
        <v>2008</v>
      </c>
      <c r="B128" s="411">
        <f t="shared" si="18"/>
        <v>363.53734435199999</v>
      </c>
      <c r="C128" s="440">
        <f t="shared" si="17"/>
        <v>1887</v>
      </c>
      <c r="D128" s="439">
        <f t="shared" si="19"/>
        <v>5.8958820271904546</v>
      </c>
    </row>
    <row r="129" spans="1:7" ht="15" x14ac:dyDescent="0.25">
      <c r="A129" s="410">
        <f t="shared" si="18"/>
        <v>2009</v>
      </c>
      <c r="B129" s="411">
        <f t="shared" si="18"/>
        <v>376.18293715200002</v>
      </c>
      <c r="C129" s="440">
        <f t="shared" si="17"/>
        <v>1890.9</v>
      </c>
      <c r="D129" s="439">
        <f t="shared" si="19"/>
        <v>5.9300755600488513</v>
      </c>
    </row>
    <row r="130" spans="1:7" ht="15" x14ac:dyDescent="0.25">
      <c r="A130" s="410">
        <f t="shared" si="18"/>
        <v>2010</v>
      </c>
      <c r="B130" s="411">
        <f t="shared" si="18"/>
        <v>368.08261050599998</v>
      </c>
      <c r="C130" s="440">
        <f t="shared" si="17"/>
        <v>1919.9</v>
      </c>
      <c r="D130" s="439">
        <f t="shared" si="19"/>
        <v>5.9083073980465795</v>
      </c>
    </row>
    <row r="131" spans="1:7" ht="15" x14ac:dyDescent="0.25">
      <c r="A131" s="410">
        <f t="shared" si="18"/>
        <v>2011</v>
      </c>
      <c r="B131" s="411">
        <f t="shared" si="18"/>
        <v>370.31209148800002</v>
      </c>
      <c r="C131" s="440">
        <f t="shared" si="17"/>
        <v>1952</v>
      </c>
      <c r="D131" s="439">
        <f t="shared" si="19"/>
        <v>5.9143461406081741</v>
      </c>
    </row>
    <row r="132" spans="1:7" ht="15" x14ac:dyDescent="0.25">
      <c r="A132" s="410">
        <f t="shared" si="18"/>
        <v>2012</v>
      </c>
      <c r="B132" s="411">
        <f t="shared" si="18"/>
        <v>385.34398976199998</v>
      </c>
      <c r="C132" s="440">
        <f t="shared" si="17"/>
        <v>1970.4</v>
      </c>
      <c r="D132" s="439">
        <f t="shared" si="19"/>
        <v>5.9541364152735134</v>
      </c>
    </row>
    <row r="133" spans="1:7" ht="15" x14ac:dyDescent="0.25">
      <c r="A133" s="410">
        <f t="shared" si="18"/>
        <v>2013</v>
      </c>
      <c r="B133" s="411">
        <f t="shared" si="18"/>
        <v>392.73301543500003</v>
      </c>
      <c r="C133" s="440">
        <f t="shared" si="17"/>
        <v>1996.6</v>
      </c>
      <c r="D133" s="439">
        <f t="shared" si="19"/>
        <v>5.9731300309682922</v>
      </c>
    </row>
    <row r="134" spans="1:7" ht="15" x14ac:dyDescent="0.25">
      <c r="A134" s="410">
        <f t="shared" si="18"/>
        <v>2014</v>
      </c>
      <c r="B134" s="411">
        <f t="shared" si="18"/>
        <v>401.75201667599998</v>
      </c>
      <c r="C134" s="440">
        <f t="shared" si="17"/>
        <v>2044.3</v>
      </c>
      <c r="D134" s="439">
        <f t="shared" si="19"/>
        <v>5.9958350243337097</v>
      </c>
    </row>
    <row r="135" spans="1:7" ht="15" x14ac:dyDescent="0.25">
      <c r="A135" s="410">
        <f t="shared" si="18"/>
        <v>2015</v>
      </c>
      <c r="B135" s="411">
        <f t="shared" si="18"/>
        <v>403.96336567200001</v>
      </c>
      <c r="C135" s="440">
        <f t="shared" si="17"/>
        <v>2109.5</v>
      </c>
      <c r="D135" s="439">
        <f t="shared" si="19"/>
        <v>6.0013241948198557</v>
      </c>
    </row>
    <row r="137" spans="1:7" x14ac:dyDescent="0.2">
      <c r="A137" s="412" t="s">
        <v>917</v>
      </c>
      <c r="B137" s="254"/>
      <c r="C137" s="254"/>
      <c r="D137" s="254"/>
    </row>
    <row r="138" spans="1:7" x14ac:dyDescent="0.2">
      <c r="A138" s="413" t="s">
        <v>918</v>
      </c>
      <c r="B138" s="385"/>
      <c r="C138" s="385"/>
      <c r="D138" s="385"/>
      <c r="F138" s="414">
        <v>0.99032266569946803</v>
      </c>
      <c r="G138" s="417" t="s">
        <v>923</v>
      </c>
    </row>
    <row r="139" spans="1:7" x14ac:dyDescent="0.2">
      <c r="A139" s="413" t="s">
        <v>919</v>
      </c>
      <c r="B139" s="385"/>
      <c r="C139" s="385"/>
      <c r="D139" s="385"/>
      <c r="F139" s="414">
        <v>0.9807389821981003</v>
      </c>
      <c r="G139" s="417" t="s">
        <v>924</v>
      </c>
    </row>
    <row r="140" spans="1:7" x14ac:dyDescent="0.2">
      <c r="A140" s="413" t="s">
        <v>920</v>
      </c>
      <c r="B140" s="385"/>
      <c r="C140" s="385"/>
      <c r="D140" s="385"/>
      <c r="F140" s="414">
        <v>0.97972524441905295</v>
      </c>
      <c r="G140" s="417" t="s">
        <v>925</v>
      </c>
    </row>
    <row r="141" spans="1:7" x14ac:dyDescent="0.2">
      <c r="A141" s="416" t="s">
        <v>921</v>
      </c>
      <c r="B141" s="385"/>
      <c r="C141" s="385"/>
      <c r="D141" s="385"/>
      <c r="F141" s="415">
        <v>2.8098319735507499E-2</v>
      </c>
    </row>
    <row r="142" spans="1:7" x14ac:dyDescent="0.2">
      <c r="A142" s="416" t="s">
        <v>922</v>
      </c>
      <c r="B142" s="385"/>
      <c r="C142" s="385"/>
      <c r="D142" s="385"/>
      <c r="F142" s="415">
        <v>21</v>
      </c>
    </row>
    <row r="144" spans="1:7" x14ac:dyDescent="0.2">
      <c r="A144" s="412"/>
      <c r="B144" s="319" t="s">
        <v>928</v>
      </c>
      <c r="C144" s="319" t="s">
        <v>929</v>
      </c>
      <c r="D144" s="319" t="s">
        <v>930</v>
      </c>
      <c r="E144" s="319" t="s">
        <v>931</v>
      </c>
      <c r="F144" s="319" t="s">
        <v>932</v>
      </c>
    </row>
    <row r="145" spans="1:24" ht="15" x14ac:dyDescent="0.25">
      <c r="A145" s="416" t="s">
        <v>926</v>
      </c>
      <c r="B145" s="410">
        <v>1</v>
      </c>
      <c r="C145" s="422">
        <v>0.76381556895322389</v>
      </c>
      <c r="D145" s="422">
        <v>0.76381556895322389</v>
      </c>
      <c r="E145" s="422">
        <v>967.4483899768768</v>
      </c>
      <c r="F145" s="418">
        <v>9.2283099727076438E-18</v>
      </c>
    </row>
    <row r="146" spans="1:24" ht="15" x14ac:dyDescent="0.25">
      <c r="A146" s="416" t="s">
        <v>927</v>
      </c>
      <c r="B146" s="410">
        <v>19</v>
      </c>
      <c r="C146" s="422">
        <v>1.5000795867217392E-2</v>
      </c>
      <c r="D146" s="422">
        <v>7.8951557195881014E-4</v>
      </c>
      <c r="E146" s="422"/>
      <c r="F146" s="418"/>
    </row>
    <row r="147" spans="1:24" ht="15" x14ac:dyDescent="0.25">
      <c r="A147" s="416" t="s">
        <v>548</v>
      </c>
      <c r="B147" s="410">
        <v>20</v>
      </c>
      <c r="C147" s="422">
        <v>0.77881636482044125</v>
      </c>
      <c r="D147" s="422"/>
      <c r="E147" s="422"/>
      <c r="F147" s="418"/>
    </row>
    <row r="148" spans="1:24" ht="15" x14ac:dyDescent="0.25">
      <c r="A148"/>
      <c r="F148" s="419"/>
    </row>
    <row r="149" spans="1:24" ht="24" x14ac:dyDescent="0.2">
      <c r="A149" s="437"/>
      <c r="B149" s="319" t="s">
        <v>933</v>
      </c>
      <c r="C149" s="254" t="s">
        <v>921</v>
      </c>
      <c r="D149" s="319" t="s">
        <v>934</v>
      </c>
      <c r="E149" s="319" t="s">
        <v>935</v>
      </c>
      <c r="F149" s="319" t="s">
        <v>936</v>
      </c>
      <c r="G149" s="319" t="s">
        <v>937</v>
      </c>
      <c r="H149" s="319" t="s">
        <v>938</v>
      </c>
      <c r="I149" s="319" t="s">
        <v>939</v>
      </c>
    </row>
    <row r="150" spans="1:24" ht="15" x14ac:dyDescent="0.25">
      <c r="A150" s="420" t="s">
        <v>940</v>
      </c>
      <c r="B150" s="421">
        <v>5.0239466004469007</v>
      </c>
      <c r="C150" s="423">
        <v>2.3727114194223433E-2</v>
      </c>
      <c r="D150" s="423">
        <v>211.73862777084045</v>
      </c>
      <c r="E150" s="418">
        <v>1.6335936575073656E-33</v>
      </c>
      <c r="F150" s="423">
        <v>4.9742851798047383</v>
      </c>
      <c r="G150" s="423">
        <v>5.0736080210890631</v>
      </c>
      <c r="H150" s="423">
        <v>4.9742851798047383</v>
      </c>
      <c r="I150" s="423">
        <v>5.0736080210890631</v>
      </c>
    </row>
    <row r="151" spans="1:24" ht="15" x14ac:dyDescent="0.25">
      <c r="A151" s="420" t="s">
        <v>943</v>
      </c>
      <c r="B151" s="421">
        <v>4.6465246156117721E-4</v>
      </c>
      <c r="C151" s="423">
        <v>1.4938752742214328E-5</v>
      </c>
      <c r="D151" s="423">
        <v>31.103832400154118</v>
      </c>
      <c r="E151" s="418">
        <v>9.2283099727075776E-18</v>
      </c>
      <c r="F151" s="423">
        <v>4.3338529279688732E-4</v>
      </c>
      <c r="G151" s="423">
        <v>4.9591963032546711E-4</v>
      </c>
      <c r="H151" s="423">
        <v>4.3338529279688732E-4</v>
      </c>
      <c r="I151" s="423">
        <v>4.9591963032546711E-4</v>
      </c>
    </row>
    <row r="153" spans="1:24" ht="15" x14ac:dyDescent="0.25">
      <c r="A153" s="223" t="s">
        <v>941</v>
      </c>
      <c r="B153" s="223"/>
      <c r="C153" s="223"/>
      <c r="D153" s="223"/>
      <c r="E153" s="223"/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</row>
    <row r="155" spans="1:24" ht="36" x14ac:dyDescent="0.2">
      <c r="A155" s="254" t="s">
        <v>307</v>
      </c>
      <c r="B155" s="254" t="s">
        <v>894</v>
      </c>
      <c r="C155" s="254" t="s">
        <v>942</v>
      </c>
      <c r="D155" s="391"/>
    </row>
    <row r="156" spans="1:24" ht="15" x14ac:dyDescent="0.25">
      <c r="A156" s="410">
        <f>A73</f>
        <v>1995</v>
      </c>
      <c r="B156" s="411">
        <f t="shared" ref="B156:B176" si="20">H6</f>
        <v>205.220527535</v>
      </c>
      <c r="C156" s="411">
        <f t="shared" ref="C156:C176" si="21">B6</f>
        <v>769.5</v>
      </c>
      <c r="D156" s="436"/>
    </row>
    <row r="157" spans="1:24" ht="15" x14ac:dyDescent="0.25">
      <c r="A157" s="410">
        <f t="shared" ref="A157:A176" si="22">A74</f>
        <v>1996</v>
      </c>
      <c r="B157" s="411">
        <f t="shared" si="20"/>
        <v>232.79688650400001</v>
      </c>
      <c r="C157" s="411">
        <f t="shared" si="21"/>
        <v>892</v>
      </c>
      <c r="D157" s="436"/>
    </row>
    <row r="158" spans="1:24" ht="15" x14ac:dyDescent="0.25">
      <c r="A158" s="410">
        <f t="shared" si="22"/>
        <v>1997</v>
      </c>
      <c r="B158" s="411">
        <f t="shared" si="20"/>
        <v>250.01787313</v>
      </c>
      <c r="C158" s="411">
        <f t="shared" si="21"/>
        <v>997.4</v>
      </c>
      <c r="D158" s="436"/>
    </row>
    <row r="159" spans="1:24" ht="15" x14ac:dyDescent="0.25">
      <c r="A159" s="410">
        <f t="shared" si="22"/>
        <v>1998</v>
      </c>
      <c r="B159" s="411">
        <f t="shared" si="20"/>
        <v>265.66100411500003</v>
      </c>
      <c r="C159" s="411">
        <f t="shared" si="21"/>
        <v>1075.0999999999999</v>
      </c>
      <c r="D159" s="436"/>
    </row>
    <row r="160" spans="1:24" ht="15" x14ac:dyDescent="0.25">
      <c r="A160" s="410">
        <f t="shared" si="22"/>
        <v>1999</v>
      </c>
      <c r="B160" s="411">
        <f t="shared" si="20"/>
        <v>262.15957808000002</v>
      </c>
      <c r="C160" s="411">
        <f t="shared" si="21"/>
        <v>1132.9000000000001</v>
      </c>
      <c r="D160" s="436"/>
    </row>
    <row r="161" spans="1:4" ht="15" x14ac:dyDescent="0.25">
      <c r="A161" s="410">
        <f t="shared" si="22"/>
        <v>2000</v>
      </c>
      <c r="B161" s="411">
        <f t="shared" si="20"/>
        <v>265.36956999900002</v>
      </c>
      <c r="C161" s="411">
        <f t="shared" si="21"/>
        <v>1191.0999999999999</v>
      </c>
      <c r="D161" s="436"/>
    </row>
    <row r="162" spans="1:4" ht="15" x14ac:dyDescent="0.25">
      <c r="A162" s="410">
        <f t="shared" si="22"/>
        <v>2001</v>
      </c>
      <c r="B162" s="411">
        <f t="shared" si="20"/>
        <v>277.93443532800001</v>
      </c>
      <c r="C162" s="411">
        <f t="shared" si="21"/>
        <v>1270.0999999999999</v>
      </c>
      <c r="D162" s="436"/>
    </row>
    <row r="163" spans="1:4" ht="15" x14ac:dyDescent="0.25">
      <c r="A163" s="410">
        <f t="shared" si="22"/>
        <v>2002</v>
      </c>
      <c r="B163" s="411">
        <f t="shared" si="20"/>
        <v>280.52128499999998</v>
      </c>
      <c r="C163" s="411">
        <f t="shared" si="21"/>
        <v>1325.4</v>
      </c>
      <c r="D163" s="436"/>
    </row>
    <row r="164" spans="1:4" ht="15" x14ac:dyDescent="0.25">
      <c r="A164" s="410">
        <f t="shared" si="22"/>
        <v>2003</v>
      </c>
      <c r="B164" s="411">
        <f t="shared" si="20"/>
        <v>285.901269275</v>
      </c>
      <c r="C164" s="411">
        <f t="shared" si="21"/>
        <v>1390.4</v>
      </c>
      <c r="D164" s="436"/>
    </row>
    <row r="165" spans="1:4" ht="15" x14ac:dyDescent="0.25">
      <c r="A165" s="410">
        <f t="shared" si="22"/>
        <v>2004</v>
      </c>
      <c r="B165" s="411">
        <f t="shared" si="20"/>
        <v>292.50999933399999</v>
      </c>
      <c r="C165" s="411">
        <f t="shared" si="21"/>
        <v>1481.5</v>
      </c>
      <c r="D165" s="436"/>
    </row>
    <row r="166" spans="1:4" ht="15" x14ac:dyDescent="0.25">
      <c r="A166" s="410">
        <f t="shared" si="22"/>
        <v>2005</v>
      </c>
      <c r="B166" s="411">
        <f t="shared" si="20"/>
        <v>298.40565453599999</v>
      </c>
      <c r="C166" s="411">
        <f t="shared" si="21"/>
        <v>1544.7</v>
      </c>
      <c r="D166" s="436"/>
    </row>
    <row r="167" spans="1:4" ht="15" x14ac:dyDescent="0.25">
      <c r="A167" s="410">
        <f t="shared" si="22"/>
        <v>2006</v>
      </c>
      <c r="B167" s="411">
        <f t="shared" si="20"/>
        <v>318.77935830000001</v>
      </c>
      <c r="C167" s="411">
        <f t="shared" si="21"/>
        <v>1631</v>
      </c>
      <c r="D167" s="436"/>
    </row>
    <row r="168" spans="1:4" ht="15" x14ac:dyDescent="0.25">
      <c r="A168" s="410">
        <f t="shared" si="22"/>
        <v>2007</v>
      </c>
      <c r="B168" s="411">
        <f t="shared" si="20"/>
        <v>334.38286477700001</v>
      </c>
      <c r="C168" s="411">
        <f t="shared" si="21"/>
        <v>1749.5</v>
      </c>
      <c r="D168" s="436"/>
    </row>
    <row r="169" spans="1:4" ht="15" x14ac:dyDescent="0.25">
      <c r="A169" s="410">
        <f t="shared" si="22"/>
        <v>2008</v>
      </c>
      <c r="B169" s="411">
        <f t="shared" si="20"/>
        <v>363.53734435199999</v>
      </c>
      <c r="C169" s="411">
        <f t="shared" si="21"/>
        <v>1887</v>
      </c>
      <c r="D169" s="436"/>
    </row>
    <row r="170" spans="1:4" ht="15" x14ac:dyDescent="0.25">
      <c r="A170" s="410">
        <f t="shared" si="22"/>
        <v>2009</v>
      </c>
      <c r="B170" s="411">
        <f t="shared" si="20"/>
        <v>376.18293715200002</v>
      </c>
      <c r="C170" s="411">
        <f t="shared" si="21"/>
        <v>1890.9</v>
      </c>
      <c r="D170" s="436"/>
    </row>
    <row r="171" spans="1:4" ht="15" x14ac:dyDescent="0.25">
      <c r="A171" s="410">
        <f t="shared" si="22"/>
        <v>2010</v>
      </c>
      <c r="B171" s="411">
        <f t="shared" si="20"/>
        <v>368.08261050599998</v>
      </c>
      <c r="C171" s="411">
        <f t="shared" si="21"/>
        <v>1919.9</v>
      </c>
      <c r="D171" s="436"/>
    </row>
    <row r="172" spans="1:4" ht="15" x14ac:dyDescent="0.25">
      <c r="A172" s="410">
        <f t="shared" si="22"/>
        <v>2011</v>
      </c>
      <c r="B172" s="411">
        <f t="shared" si="20"/>
        <v>370.31209148800002</v>
      </c>
      <c r="C172" s="411">
        <f t="shared" si="21"/>
        <v>1952</v>
      </c>
      <c r="D172" s="436"/>
    </row>
    <row r="173" spans="1:4" ht="15" x14ac:dyDescent="0.25">
      <c r="A173" s="410">
        <f t="shared" si="22"/>
        <v>2012</v>
      </c>
      <c r="B173" s="411">
        <f t="shared" si="20"/>
        <v>385.34398976199998</v>
      </c>
      <c r="C173" s="411">
        <f t="shared" si="21"/>
        <v>1970.4</v>
      </c>
      <c r="D173" s="436"/>
    </row>
    <row r="174" spans="1:4" ht="15" x14ac:dyDescent="0.25">
      <c r="A174" s="410">
        <f t="shared" si="22"/>
        <v>2013</v>
      </c>
      <c r="B174" s="411">
        <f t="shared" si="20"/>
        <v>392.73301543500003</v>
      </c>
      <c r="C174" s="411">
        <f t="shared" si="21"/>
        <v>1996.6</v>
      </c>
      <c r="D174" s="436"/>
    </row>
    <row r="175" spans="1:4" ht="15" x14ac:dyDescent="0.25">
      <c r="A175" s="410">
        <f t="shared" si="22"/>
        <v>2014</v>
      </c>
      <c r="B175" s="411">
        <f t="shared" si="20"/>
        <v>401.75201667599998</v>
      </c>
      <c r="C175" s="411">
        <f t="shared" si="21"/>
        <v>2044.3</v>
      </c>
      <c r="D175" s="436"/>
    </row>
    <row r="176" spans="1:4" ht="15" x14ac:dyDescent="0.25">
      <c r="A176" s="410">
        <f t="shared" si="22"/>
        <v>2015</v>
      </c>
      <c r="B176" s="411">
        <f t="shared" si="20"/>
        <v>403.96336567200001</v>
      </c>
      <c r="C176" s="411">
        <f t="shared" si="21"/>
        <v>2109.5</v>
      </c>
      <c r="D176" s="436"/>
    </row>
    <row r="179" spans="1:9" x14ac:dyDescent="0.2">
      <c r="A179" s="412" t="s">
        <v>917</v>
      </c>
      <c r="B179" s="254"/>
      <c r="C179" s="254"/>
      <c r="D179" s="254"/>
    </row>
    <row r="180" spans="1:9" x14ac:dyDescent="0.2">
      <c r="A180" s="413" t="s">
        <v>918</v>
      </c>
      <c r="B180" s="385"/>
      <c r="C180" s="385"/>
      <c r="D180" s="385"/>
      <c r="F180" s="414">
        <v>0.98670083840567702</v>
      </c>
      <c r="G180" s="417" t="s">
        <v>923</v>
      </c>
    </row>
    <row r="181" spans="1:9" x14ac:dyDescent="0.2">
      <c r="A181" s="413" t="s">
        <v>919</v>
      </c>
      <c r="B181" s="385"/>
      <c r="C181" s="385"/>
      <c r="D181" s="385"/>
      <c r="F181" s="414">
        <v>0.97357854451046588</v>
      </c>
      <c r="G181" s="417" t="s">
        <v>924</v>
      </c>
    </row>
    <row r="182" spans="1:9" x14ac:dyDescent="0.2">
      <c r="A182" s="413" t="s">
        <v>920</v>
      </c>
      <c r="B182" s="385"/>
      <c r="C182" s="385"/>
      <c r="D182" s="385"/>
      <c r="F182" s="414">
        <v>0.97218794158996413</v>
      </c>
      <c r="G182" s="417" t="s">
        <v>925</v>
      </c>
    </row>
    <row r="183" spans="1:9" x14ac:dyDescent="0.2">
      <c r="A183" s="416" t="s">
        <v>921</v>
      </c>
      <c r="B183" s="385"/>
      <c r="C183" s="385"/>
      <c r="D183" s="385"/>
      <c r="F183" s="415">
        <v>10.123343400260051</v>
      </c>
    </row>
    <row r="184" spans="1:9" x14ac:dyDescent="0.2">
      <c r="A184" s="416" t="s">
        <v>922</v>
      </c>
      <c r="B184" s="385"/>
      <c r="C184" s="385"/>
      <c r="D184" s="385"/>
      <c r="F184" s="415">
        <v>21</v>
      </c>
    </row>
    <row r="186" spans="1:9" x14ac:dyDescent="0.2">
      <c r="A186" s="412"/>
      <c r="B186" s="319" t="s">
        <v>928</v>
      </c>
      <c r="C186" s="319" t="s">
        <v>929</v>
      </c>
      <c r="D186" s="319" t="s">
        <v>930</v>
      </c>
      <c r="E186" s="319" t="s">
        <v>931</v>
      </c>
      <c r="F186" s="319" t="s">
        <v>932</v>
      </c>
    </row>
    <row r="187" spans="1:9" ht="15" x14ac:dyDescent="0.25">
      <c r="A187" s="416" t="s">
        <v>926</v>
      </c>
      <c r="B187" s="410">
        <v>1</v>
      </c>
      <c r="C187" s="422">
        <v>71748.990578940502</v>
      </c>
      <c r="D187" s="422">
        <v>71748.990578940502</v>
      </c>
      <c r="E187" s="422">
        <v>700.11254122719197</v>
      </c>
      <c r="F187" s="438">
        <v>1.8650710327273999E-16</v>
      </c>
    </row>
    <row r="188" spans="1:9" ht="15" x14ac:dyDescent="0.25">
      <c r="A188" s="416" t="s">
        <v>927</v>
      </c>
      <c r="B188" s="410">
        <v>19</v>
      </c>
      <c r="C188" s="422">
        <v>1947.1595503921901</v>
      </c>
      <c r="D188" s="422">
        <v>102.48208159958899</v>
      </c>
      <c r="E188" s="422"/>
      <c r="F188" s="418"/>
    </row>
    <row r="189" spans="1:9" ht="15" x14ac:dyDescent="0.25">
      <c r="A189" s="416" t="s">
        <v>548</v>
      </c>
      <c r="B189" s="410">
        <v>20</v>
      </c>
      <c r="C189" s="422">
        <v>73696.150129332702</v>
      </c>
      <c r="D189" s="422"/>
      <c r="E189" s="422"/>
      <c r="F189" s="418"/>
    </row>
    <row r="190" spans="1:9" ht="15" x14ac:dyDescent="0.25">
      <c r="A190"/>
      <c r="F190" s="419"/>
    </row>
    <row r="191" spans="1:9" ht="60" x14ac:dyDescent="0.2">
      <c r="A191" s="437"/>
      <c r="B191" s="319" t="s">
        <v>933</v>
      </c>
      <c r="C191" s="254" t="s">
        <v>921</v>
      </c>
      <c r="D191" s="319" t="s">
        <v>934</v>
      </c>
      <c r="E191" s="254" t="s">
        <v>935</v>
      </c>
      <c r="F191" s="319" t="s">
        <v>936</v>
      </c>
      <c r="G191" s="319" t="s">
        <v>937</v>
      </c>
      <c r="H191" s="254" t="s">
        <v>938</v>
      </c>
      <c r="I191" s="254" t="s">
        <v>939</v>
      </c>
    </row>
    <row r="192" spans="1:9" ht="15" x14ac:dyDescent="0.25">
      <c r="A192" s="420" t="s">
        <v>940</v>
      </c>
      <c r="B192" s="421">
        <v>97.282466174750141</v>
      </c>
      <c r="C192" s="423">
        <v>8.54847290323106</v>
      </c>
      <c r="D192" s="423">
        <v>11.380098793783432</v>
      </c>
      <c r="E192" s="418">
        <v>6.3119518738707182E-10</v>
      </c>
      <c r="F192" s="423">
        <v>79.390306798754892</v>
      </c>
      <c r="G192" s="423">
        <v>115.17462555074539</v>
      </c>
      <c r="H192" s="423">
        <v>79.390306798754892</v>
      </c>
      <c r="I192" s="423">
        <v>115.17462555074539</v>
      </c>
    </row>
    <row r="193" spans="1:9" ht="24" x14ac:dyDescent="0.25">
      <c r="A193" s="420" t="s">
        <v>944</v>
      </c>
      <c r="B193" s="421">
        <v>0.14241045917862297</v>
      </c>
      <c r="C193" s="423">
        <v>5.3821767779909102E-3</v>
      </c>
      <c r="D193" s="423">
        <v>26.459639854449886</v>
      </c>
      <c r="E193" s="418">
        <v>1.8650710327273753E-16</v>
      </c>
      <c r="F193" s="423">
        <v>0.13114543374171761</v>
      </c>
      <c r="G193" s="423">
        <v>0.15367548461552832</v>
      </c>
      <c r="H193" s="423">
        <v>0.13114543374171761</v>
      </c>
      <c r="I193" s="423">
        <v>0.15367548461552832</v>
      </c>
    </row>
  </sheetData>
  <mergeCells count="5">
    <mergeCell ref="A4:D4"/>
    <mergeCell ref="F4:I4"/>
    <mergeCell ref="R4:S4"/>
    <mergeCell ref="T4:V4"/>
    <mergeCell ref="K4:P4"/>
  </mergeCells>
  <pageMargins left="0.39370078740157483" right="0.39370078740157483" top="0.78740157480314965" bottom="0.78740157480314965" header="0.51181102362204722" footer="0.51181102362204722"/>
  <pageSetup paperSize="9" scale="80" orientation="landscape" r:id="rId1"/>
  <headerFooter alignWithMargins="0">
    <oddHeader>&amp;LMařík, M. a kol.: Metody oceňování podniku - 1. díl, Ekopress 2018&amp;RPříklad UNIPO, a.s.</oddHeader>
    <oddFooter>&amp;C&amp;A&amp;R&amp;"Arial CE,kurzíva"© M. Mařík, P. Maříková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CF1C6-406A-4703-AB2C-4A45F6018A88}">
  <dimension ref="A2:X22"/>
  <sheetViews>
    <sheetView workbookViewId="0">
      <selection activeCell="A2" sqref="A2"/>
    </sheetView>
  </sheetViews>
  <sheetFormatPr defaultRowHeight="15" x14ac:dyDescent="0.25"/>
  <cols>
    <col min="1" max="8" width="9.140625" style="2"/>
  </cols>
  <sheetData>
    <row r="2" spans="1:24" x14ac:dyDescent="0.25">
      <c r="A2" s="223" t="s">
        <v>748</v>
      </c>
      <c r="B2" s="187"/>
      <c r="C2" s="187"/>
      <c r="D2" s="187"/>
      <c r="E2" s="187"/>
      <c r="F2" s="187"/>
      <c r="G2" s="187"/>
      <c r="H2" s="187"/>
    </row>
    <row r="4" spans="1:24" ht="15.75" x14ac:dyDescent="0.3">
      <c r="A4" s="222" t="s">
        <v>697</v>
      </c>
      <c r="B4" s="222"/>
      <c r="C4" s="90"/>
      <c r="D4" s="90"/>
      <c r="E4" s="90"/>
      <c r="F4" s="90"/>
      <c r="G4" s="90"/>
      <c r="H4" s="224">
        <v>2.7900000000000001E-2</v>
      </c>
      <c r="I4" s="568" t="s">
        <v>1149</v>
      </c>
      <c r="J4" s="569"/>
      <c r="K4" s="569"/>
      <c r="L4" s="569"/>
      <c r="M4" s="569"/>
      <c r="N4" s="569"/>
      <c r="O4" s="569"/>
      <c r="P4" s="569"/>
      <c r="Q4" s="569"/>
      <c r="R4" s="569"/>
      <c r="S4" s="569"/>
      <c r="T4" s="569"/>
      <c r="U4" s="569"/>
      <c r="V4" s="569"/>
      <c r="W4" s="569"/>
      <c r="X4" s="569"/>
    </row>
    <row r="5" spans="1:24" x14ac:dyDescent="0.25">
      <c r="A5" s="222" t="s">
        <v>989</v>
      </c>
      <c r="B5" s="222"/>
      <c r="C5" s="90"/>
      <c r="D5" s="90"/>
      <c r="E5" s="90"/>
      <c r="F5" s="90"/>
      <c r="G5" s="90"/>
      <c r="H5" s="69">
        <v>0.65</v>
      </c>
      <c r="I5" s="568" t="s">
        <v>1148</v>
      </c>
      <c r="J5" s="569"/>
      <c r="K5" s="569"/>
      <c r="L5" s="569"/>
      <c r="M5" s="569"/>
      <c r="N5" s="569"/>
      <c r="O5" s="569"/>
      <c r="P5" s="569"/>
      <c r="Q5" s="569"/>
      <c r="R5" s="569"/>
      <c r="S5" s="569"/>
      <c r="T5" s="569"/>
      <c r="U5" s="569"/>
      <c r="V5" s="569"/>
      <c r="W5" s="569"/>
      <c r="X5" s="569"/>
    </row>
    <row r="6" spans="1:24" x14ac:dyDescent="0.25">
      <c r="A6" s="222" t="s">
        <v>698</v>
      </c>
      <c r="B6" s="222"/>
      <c r="C6" s="90"/>
      <c r="D6" s="90"/>
      <c r="E6" s="90"/>
      <c r="F6" s="90"/>
      <c r="G6" s="90"/>
      <c r="H6" s="224">
        <f>4.62%-(2.79%-2.45%)</f>
        <v>4.2799999999999998E-2</v>
      </c>
      <c r="I6" s="568" t="s">
        <v>1148</v>
      </c>
      <c r="J6" s="569"/>
      <c r="K6" s="569"/>
      <c r="L6" s="569"/>
      <c r="M6" s="569"/>
      <c r="N6" s="569"/>
      <c r="O6" s="569"/>
      <c r="P6" s="569"/>
      <c r="Q6" s="569"/>
      <c r="R6" s="569"/>
      <c r="S6" s="569"/>
      <c r="T6" s="569"/>
      <c r="U6" s="569"/>
      <c r="V6" s="569"/>
      <c r="W6" s="569"/>
      <c r="X6" s="569"/>
    </row>
    <row r="7" spans="1:24" x14ac:dyDescent="0.25">
      <c r="A7" s="222" t="s">
        <v>699</v>
      </c>
      <c r="B7" s="222"/>
      <c r="C7" s="90"/>
      <c r="D7" s="90"/>
      <c r="E7" s="90"/>
      <c r="F7" s="90"/>
      <c r="G7" s="90"/>
      <c r="H7" s="227" t="s">
        <v>708</v>
      </c>
      <c r="I7" s="568" t="s">
        <v>1148</v>
      </c>
      <c r="J7" s="569"/>
      <c r="K7" s="569"/>
      <c r="L7" s="569"/>
      <c r="M7" s="569"/>
      <c r="N7" s="569"/>
      <c r="O7" s="569"/>
      <c r="P7" s="569"/>
      <c r="Q7" s="569"/>
      <c r="R7" s="569"/>
      <c r="S7" s="569"/>
      <c r="T7" s="569"/>
      <c r="U7" s="569"/>
      <c r="V7" s="569"/>
      <c r="W7" s="569"/>
      <c r="X7" s="569"/>
    </row>
    <row r="8" spans="1:24" x14ac:dyDescent="0.25">
      <c r="A8" s="144"/>
      <c r="B8" s="144"/>
      <c r="C8" s="140"/>
      <c r="D8" s="140"/>
      <c r="E8" s="140"/>
      <c r="F8" s="140"/>
      <c r="G8" s="140"/>
      <c r="I8" s="569"/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</row>
    <row r="9" spans="1:24" x14ac:dyDescent="0.25">
      <c r="A9" s="222" t="s">
        <v>700</v>
      </c>
      <c r="B9" s="222"/>
      <c r="C9" s="90"/>
      <c r="D9" s="90"/>
      <c r="E9" s="90"/>
      <c r="F9" s="90"/>
      <c r="G9" s="90"/>
      <c r="H9" s="224">
        <v>8.0999999999999996E-3</v>
      </c>
      <c r="I9" s="568" t="s">
        <v>1148</v>
      </c>
      <c r="J9" s="569"/>
      <c r="K9" s="569"/>
      <c r="L9" s="569"/>
      <c r="M9" s="569"/>
      <c r="N9" s="569"/>
      <c r="O9" s="569"/>
      <c r="P9" s="569"/>
      <c r="Q9" s="569"/>
      <c r="R9" s="569"/>
      <c r="S9" s="569"/>
      <c r="T9" s="569"/>
      <c r="U9" s="569"/>
      <c r="V9" s="569"/>
      <c r="W9" s="569"/>
      <c r="X9" s="569"/>
    </row>
    <row r="10" spans="1:24" x14ac:dyDescent="0.25">
      <c r="A10" s="222" t="s">
        <v>701</v>
      </c>
      <c r="B10" s="222"/>
      <c r="C10" s="90"/>
      <c r="D10" s="90"/>
      <c r="E10" s="90"/>
      <c r="F10" s="90"/>
      <c r="G10" s="90"/>
      <c r="H10" s="69">
        <v>2.8</v>
      </c>
      <c r="I10" s="569"/>
      <c r="J10" s="569"/>
      <c r="K10" s="569"/>
      <c r="L10" s="569"/>
      <c r="M10" s="569"/>
      <c r="N10" s="569"/>
      <c r="O10" s="569"/>
      <c r="P10" s="569"/>
      <c r="Q10" s="569"/>
      <c r="R10" s="569"/>
      <c r="S10" s="569"/>
      <c r="T10" s="569"/>
      <c r="U10" s="569"/>
      <c r="V10" s="569"/>
      <c r="W10" s="569"/>
      <c r="X10" s="569"/>
    </row>
    <row r="11" spans="1:24" x14ac:dyDescent="0.25">
      <c r="A11" s="222" t="s">
        <v>702</v>
      </c>
      <c r="B11" s="222"/>
      <c r="C11" s="90"/>
      <c r="D11" s="90"/>
      <c r="E11" s="90"/>
      <c r="F11" s="90"/>
      <c r="G11" s="90"/>
      <c r="H11" s="224">
        <f>H9*H10</f>
        <v>2.2679999999999999E-2</v>
      </c>
      <c r="I11" s="568" t="s">
        <v>1148</v>
      </c>
      <c r="J11" s="569"/>
      <c r="K11" s="569"/>
      <c r="L11" s="569"/>
      <c r="M11" s="569"/>
      <c r="N11" s="569"/>
      <c r="O11" s="569"/>
      <c r="P11" s="569"/>
      <c r="Q11" s="569"/>
      <c r="R11" s="569"/>
      <c r="S11" s="569"/>
      <c r="T11" s="569"/>
      <c r="U11" s="569"/>
      <c r="V11" s="569"/>
      <c r="W11" s="569"/>
      <c r="X11" s="569"/>
    </row>
    <row r="12" spans="1:24" x14ac:dyDescent="0.25">
      <c r="A12" s="149" t="s">
        <v>703</v>
      </c>
      <c r="B12" s="149"/>
      <c r="C12" s="60"/>
      <c r="D12" s="60"/>
      <c r="E12" s="60"/>
      <c r="F12" s="60"/>
      <c r="G12" s="60"/>
      <c r="H12" s="224">
        <f>H11-0.004</f>
        <v>1.8679999999999999E-2</v>
      </c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</row>
    <row r="13" spans="1:24" x14ac:dyDescent="0.25">
      <c r="A13" s="144"/>
      <c r="B13" s="144"/>
      <c r="C13" s="140"/>
      <c r="D13" s="140"/>
      <c r="E13" s="140"/>
      <c r="F13" s="140"/>
      <c r="G13" s="140"/>
      <c r="I13" s="569"/>
      <c r="J13" s="569"/>
      <c r="K13" s="569"/>
      <c r="L13" s="569"/>
      <c r="M13" s="569"/>
      <c r="N13" s="569"/>
      <c r="O13" s="569"/>
      <c r="P13" s="569"/>
      <c r="Q13" s="569"/>
      <c r="R13" s="569"/>
      <c r="S13" s="569"/>
      <c r="T13" s="569"/>
      <c r="U13" s="569"/>
      <c r="V13" s="569"/>
      <c r="W13" s="569"/>
      <c r="X13" s="569"/>
    </row>
    <row r="14" spans="1:24" x14ac:dyDescent="0.25">
      <c r="A14" s="222" t="s">
        <v>704</v>
      </c>
      <c r="B14" s="222"/>
      <c r="C14" s="90"/>
      <c r="D14" s="90"/>
      <c r="E14" s="90"/>
      <c r="F14" s="90"/>
      <c r="G14" s="90"/>
      <c r="H14" s="225">
        <v>0.02</v>
      </c>
      <c r="I14" s="569"/>
      <c r="J14" s="569"/>
      <c r="K14" s="569"/>
      <c r="L14" s="569"/>
      <c r="M14" s="569"/>
      <c r="N14" s="569"/>
      <c r="O14" s="569"/>
      <c r="P14" s="569"/>
      <c r="Q14" s="569"/>
      <c r="R14" s="569"/>
      <c r="S14" s="569"/>
      <c r="T14" s="569"/>
      <c r="U14" s="569"/>
      <c r="V14" s="569"/>
      <c r="W14" s="569"/>
      <c r="X14" s="569"/>
    </row>
    <row r="15" spans="1:24" x14ac:dyDescent="0.25">
      <c r="A15" s="222" t="s">
        <v>705</v>
      </c>
      <c r="B15" s="222"/>
      <c r="C15" s="90"/>
      <c r="D15" s="90"/>
      <c r="E15" s="90"/>
      <c r="F15" s="90"/>
      <c r="G15" s="90"/>
      <c r="H15" s="225">
        <v>1.4999999999999999E-2</v>
      </c>
      <c r="I15" s="569"/>
      <c r="J15" s="569"/>
      <c r="K15" s="569"/>
      <c r="L15" s="569"/>
      <c r="M15" s="569"/>
      <c r="N15" s="569"/>
      <c r="O15" s="569"/>
      <c r="P15" s="569"/>
      <c r="Q15" s="569"/>
      <c r="R15" s="569"/>
      <c r="S15" s="569"/>
      <c r="T15" s="569"/>
      <c r="U15" s="569"/>
      <c r="V15" s="569"/>
      <c r="W15" s="569"/>
      <c r="X15" s="569"/>
    </row>
    <row r="16" spans="1:24" x14ac:dyDescent="0.25">
      <c r="A16" s="144"/>
      <c r="B16" s="144"/>
      <c r="C16" s="140"/>
      <c r="D16" s="140"/>
      <c r="E16" s="140"/>
      <c r="F16" s="140"/>
      <c r="G16" s="140"/>
      <c r="I16" s="569"/>
      <c r="J16" s="569"/>
      <c r="K16" s="569"/>
      <c r="L16" s="569"/>
      <c r="M16" s="569"/>
      <c r="N16" s="569"/>
      <c r="O16" s="569"/>
      <c r="P16" s="569"/>
      <c r="Q16" s="569"/>
      <c r="R16" s="569"/>
      <c r="S16" s="569"/>
      <c r="T16" s="569"/>
      <c r="U16" s="569"/>
      <c r="V16" s="569"/>
      <c r="W16" s="569"/>
      <c r="X16" s="569"/>
    </row>
    <row r="17" spans="1:24" x14ac:dyDescent="0.25">
      <c r="A17" s="222" t="s">
        <v>706</v>
      </c>
      <c r="B17" s="222"/>
      <c r="C17" s="90"/>
      <c r="D17" s="90"/>
      <c r="E17" s="90"/>
      <c r="F17" s="90"/>
      <c r="G17" s="90"/>
      <c r="H17" s="226">
        <f>DCF!E81</f>
        <v>0.24713549027528198</v>
      </c>
      <c r="I17" s="568" t="s">
        <v>1147</v>
      </c>
      <c r="J17" s="569"/>
      <c r="K17" s="569"/>
      <c r="L17" s="569"/>
      <c r="M17" s="569"/>
      <c r="N17" s="569"/>
      <c r="O17" s="569"/>
      <c r="P17" s="569"/>
      <c r="Q17" s="569"/>
      <c r="R17" s="569"/>
      <c r="S17" s="569"/>
      <c r="T17" s="569"/>
      <c r="U17" s="569"/>
      <c r="V17" s="569"/>
      <c r="W17" s="569"/>
      <c r="X17" s="569"/>
    </row>
    <row r="18" spans="1:24" x14ac:dyDescent="0.25">
      <c r="A18" s="222" t="s">
        <v>483</v>
      </c>
      <c r="B18" s="222"/>
      <c r="C18" s="90"/>
      <c r="D18" s="90"/>
      <c r="E18" s="90"/>
      <c r="F18" s="90"/>
      <c r="G18" s="90"/>
      <c r="H18" s="226">
        <f>Plán!I7</f>
        <v>0.19</v>
      </c>
      <c r="I18" s="569"/>
      <c r="J18" s="569"/>
      <c r="K18" s="569"/>
      <c r="L18" s="569"/>
      <c r="M18" s="569"/>
      <c r="N18" s="569"/>
      <c r="O18" s="569"/>
      <c r="P18" s="569"/>
      <c r="Q18" s="569"/>
      <c r="R18" s="569"/>
      <c r="S18" s="569"/>
      <c r="T18" s="569"/>
      <c r="U18" s="569"/>
      <c r="V18" s="569"/>
      <c r="W18" s="569"/>
      <c r="X18" s="569"/>
    </row>
    <row r="19" spans="1:24" x14ac:dyDescent="0.25">
      <c r="A19" s="144"/>
      <c r="B19" s="144"/>
      <c r="C19" s="140"/>
      <c r="D19" s="140"/>
      <c r="E19" s="140"/>
      <c r="F19" s="140"/>
      <c r="G19" s="140"/>
      <c r="I19" s="569"/>
      <c r="J19" s="569"/>
      <c r="K19" s="569"/>
      <c r="L19" s="569"/>
      <c r="M19" s="569"/>
      <c r="N19" s="569"/>
      <c r="O19" s="569"/>
      <c r="P19" s="569"/>
      <c r="Q19" s="569"/>
      <c r="R19" s="569"/>
      <c r="S19" s="569"/>
      <c r="T19" s="569"/>
      <c r="U19" s="569"/>
      <c r="V19" s="569"/>
      <c r="W19" s="569"/>
      <c r="X19" s="569"/>
    </row>
    <row r="20" spans="1:24" x14ac:dyDescent="0.25">
      <c r="A20" s="149" t="s">
        <v>707</v>
      </c>
      <c r="B20" s="149"/>
      <c r="C20" s="60"/>
      <c r="D20" s="60"/>
      <c r="E20" s="60"/>
      <c r="F20" s="60"/>
      <c r="G20" s="60"/>
      <c r="H20" s="229">
        <f>H5*(1+H17*(1-H18))</f>
        <v>0.78011683562993606</v>
      </c>
      <c r="I20" s="569"/>
      <c r="J20" s="569"/>
      <c r="K20" s="569"/>
      <c r="L20" s="569"/>
      <c r="M20" s="569"/>
      <c r="N20" s="569"/>
      <c r="O20" s="569"/>
      <c r="P20" s="569"/>
      <c r="Q20" s="569"/>
      <c r="R20" s="569"/>
      <c r="S20" s="569"/>
      <c r="T20" s="569"/>
      <c r="U20" s="569"/>
      <c r="V20" s="569"/>
      <c r="W20" s="569"/>
      <c r="X20" s="569"/>
    </row>
    <row r="21" spans="1:24" x14ac:dyDescent="0.25">
      <c r="A21" s="144"/>
      <c r="B21" s="144"/>
      <c r="C21" s="140"/>
      <c r="D21" s="140"/>
      <c r="E21" s="140"/>
      <c r="F21" s="140"/>
      <c r="G21" s="140"/>
      <c r="I21" s="569"/>
      <c r="J21" s="569"/>
      <c r="K21" s="569"/>
      <c r="L21" s="569"/>
      <c r="M21" s="569"/>
      <c r="N21" s="569"/>
      <c r="O21" s="569"/>
      <c r="P21" s="569"/>
      <c r="Q21" s="569"/>
      <c r="R21" s="569"/>
      <c r="S21" s="569"/>
      <c r="T21" s="569"/>
      <c r="U21" s="569"/>
      <c r="V21" s="569"/>
      <c r="W21" s="569"/>
      <c r="X21" s="569"/>
    </row>
    <row r="22" spans="1:24" x14ac:dyDescent="0.25">
      <c r="A22" s="149" t="s">
        <v>696</v>
      </c>
      <c r="B22" s="149"/>
      <c r="C22" s="60"/>
      <c r="D22" s="60"/>
      <c r="E22" s="60"/>
      <c r="F22" s="60"/>
      <c r="G22" s="60"/>
      <c r="H22" s="228">
        <f>ROUND(H4+H6*H20+H12+H14+H15,3)</f>
        <v>0.115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C6893-0E39-4C46-BCE6-7D75D5E121DF}">
  <dimension ref="A2:J90"/>
  <sheetViews>
    <sheetView zoomScale="80" zoomScaleNormal="80" workbookViewId="0">
      <selection activeCell="C46" sqref="C46"/>
    </sheetView>
  </sheetViews>
  <sheetFormatPr defaultRowHeight="15" x14ac:dyDescent="0.25"/>
  <cols>
    <col min="1" max="2" width="9.140625" style="231"/>
    <col min="3" max="3" width="12.85546875" style="231" customWidth="1"/>
    <col min="4" max="4" width="10.5703125" style="231" customWidth="1"/>
    <col min="5" max="5" width="12.85546875" style="231" customWidth="1"/>
    <col min="6" max="6" width="9.28515625" style="231" bestFit="1" customWidth="1"/>
    <col min="7" max="7" width="17.28515625" style="231" customWidth="1"/>
    <col min="8" max="8" width="9.140625" style="231"/>
    <col min="9" max="9" width="9.28515625" style="231" bestFit="1" customWidth="1"/>
    <col min="10" max="10" width="9.140625" style="2"/>
  </cols>
  <sheetData>
    <row r="2" spans="1:10" x14ac:dyDescent="0.25">
      <c r="A2" s="230" t="s">
        <v>747</v>
      </c>
      <c r="B2" s="230"/>
      <c r="C2" s="230"/>
      <c r="D2" s="230"/>
      <c r="E2" s="230"/>
      <c r="F2" s="230"/>
      <c r="G2" s="230"/>
      <c r="H2" s="230"/>
      <c r="I2" s="230"/>
    </row>
    <row r="3" spans="1:10" x14ac:dyDescent="0.25">
      <c r="A3" s="233"/>
      <c r="B3" s="233"/>
      <c r="C3" s="233"/>
      <c r="D3" s="233"/>
      <c r="E3" s="233"/>
      <c r="F3" s="233"/>
      <c r="G3" s="233"/>
      <c r="H3" s="233"/>
      <c r="I3" s="233"/>
      <c r="J3" s="140"/>
    </row>
    <row r="4" spans="1:10" ht="36" customHeight="1" x14ac:dyDescent="0.25">
      <c r="A4" s="793" t="s">
        <v>594</v>
      </c>
      <c r="B4" s="793"/>
      <c r="C4" s="258" t="s">
        <v>709</v>
      </c>
      <c r="D4" s="258" t="s">
        <v>379</v>
      </c>
      <c r="E4" s="258" t="s">
        <v>710</v>
      </c>
      <c r="F4" s="233"/>
      <c r="G4" s="233"/>
      <c r="H4" s="233"/>
      <c r="I4" s="233"/>
      <c r="J4" s="140"/>
    </row>
    <row r="5" spans="1:10" x14ac:dyDescent="0.25">
      <c r="A5" s="255" t="s">
        <v>711</v>
      </c>
      <c r="B5" s="255"/>
      <c r="C5" s="256">
        <f>SUM(C6:C11)</f>
        <v>23</v>
      </c>
      <c r="D5" s="257"/>
      <c r="E5" s="257">
        <f>SUM(E6:E11)</f>
        <v>23</v>
      </c>
      <c r="F5" s="233" t="s">
        <v>712</v>
      </c>
      <c r="G5" s="233"/>
      <c r="H5" s="233"/>
      <c r="I5" s="237">
        <v>1.7000000000000001E-2</v>
      </c>
      <c r="J5" s="140"/>
    </row>
    <row r="6" spans="1:10" x14ac:dyDescent="0.25">
      <c r="A6" s="259" t="s">
        <v>713</v>
      </c>
      <c r="B6" s="259"/>
      <c r="C6" s="259">
        <f>D28</f>
        <v>4</v>
      </c>
      <c r="D6" s="260">
        <v>1</v>
      </c>
      <c r="E6" s="259">
        <f>C6*D6</f>
        <v>4</v>
      </c>
      <c r="F6" s="233" t="s">
        <v>749</v>
      </c>
      <c r="G6" s="233"/>
      <c r="H6" s="233"/>
      <c r="I6" s="238">
        <f>I5/E13</f>
        <v>4.9418604651162797E-4</v>
      </c>
      <c r="J6" s="140"/>
    </row>
    <row r="7" spans="1:10" x14ac:dyDescent="0.25">
      <c r="A7" s="259" t="s">
        <v>714</v>
      </c>
      <c r="B7" s="259"/>
      <c r="C7" s="259">
        <f>D35</f>
        <v>3</v>
      </c>
      <c r="D7" s="260">
        <v>1</v>
      </c>
      <c r="E7" s="259">
        <f t="shared" ref="E7:E12" si="0">C7*D7</f>
        <v>3</v>
      </c>
      <c r="F7" s="233" t="s">
        <v>750</v>
      </c>
      <c r="G7" s="233"/>
      <c r="H7" s="233"/>
      <c r="I7" s="237">
        <v>0.35</v>
      </c>
      <c r="J7" s="140"/>
    </row>
    <row r="8" spans="1:10" x14ac:dyDescent="0.25">
      <c r="A8" s="259" t="s">
        <v>715</v>
      </c>
      <c r="B8" s="259"/>
      <c r="C8" s="259">
        <f>D42</f>
        <v>6</v>
      </c>
      <c r="D8" s="260">
        <v>1</v>
      </c>
      <c r="E8" s="259">
        <f t="shared" si="0"/>
        <v>6</v>
      </c>
      <c r="F8" s="233" t="s">
        <v>751</v>
      </c>
      <c r="G8" s="233"/>
      <c r="H8" s="233"/>
      <c r="I8" s="232">
        <f>(I7/I5)^(1/4)</f>
        <v>2.1301234858254463</v>
      </c>
      <c r="J8" s="140"/>
    </row>
    <row r="9" spans="1:10" x14ac:dyDescent="0.25">
      <c r="A9" s="259" t="s">
        <v>716</v>
      </c>
      <c r="B9" s="259"/>
      <c r="C9" s="259">
        <f>D49</f>
        <v>3</v>
      </c>
      <c r="D9" s="260">
        <v>1</v>
      </c>
      <c r="E9" s="259">
        <f t="shared" si="0"/>
        <v>3</v>
      </c>
      <c r="F9" s="239"/>
      <c r="G9" s="233"/>
      <c r="H9" s="233"/>
      <c r="I9" s="234"/>
      <c r="J9" s="140"/>
    </row>
    <row r="10" spans="1:10" x14ac:dyDescent="0.25">
      <c r="A10" s="259" t="s">
        <v>717</v>
      </c>
      <c r="B10" s="259"/>
      <c r="C10" s="259">
        <f>D56</f>
        <v>3</v>
      </c>
      <c r="D10" s="260">
        <v>1</v>
      </c>
      <c r="E10" s="259">
        <f t="shared" si="0"/>
        <v>3</v>
      </c>
      <c r="F10" s="239"/>
      <c r="G10" s="233"/>
      <c r="H10" s="233"/>
      <c r="I10" s="234"/>
      <c r="J10" s="140"/>
    </row>
    <row r="11" spans="1:10" x14ac:dyDescent="0.25">
      <c r="A11" s="259" t="s">
        <v>718</v>
      </c>
      <c r="B11" s="259"/>
      <c r="C11" s="259">
        <f>D63</f>
        <v>4</v>
      </c>
      <c r="D11" s="260">
        <v>1</v>
      </c>
      <c r="E11" s="259">
        <f>C11*D11</f>
        <v>4</v>
      </c>
      <c r="F11" s="233"/>
      <c r="G11" s="233"/>
      <c r="H11" s="233"/>
      <c r="I11" s="234"/>
      <c r="J11" s="140"/>
    </row>
    <row r="12" spans="1:10" x14ac:dyDescent="0.25">
      <c r="A12" s="256" t="s">
        <v>719</v>
      </c>
      <c r="B12" s="256"/>
      <c r="C12" s="256">
        <f>D72</f>
        <v>6</v>
      </c>
      <c r="D12" s="257">
        <v>1.9</v>
      </c>
      <c r="E12" s="256">
        <f t="shared" si="0"/>
        <v>11.399999999999999</v>
      </c>
      <c r="F12" s="233"/>
      <c r="G12" s="233"/>
      <c r="H12" s="233"/>
      <c r="I12" s="234"/>
      <c r="J12" s="140"/>
    </row>
    <row r="13" spans="1:10" x14ac:dyDescent="0.25">
      <c r="A13" s="256" t="s">
        <v>720</v>
      </c>
      <c r="B13" s="256"/>
      <c r="C13" s="256">
        <f>C5+C12</f>
        <v>29</v>
      </c>
      <c r="D13" s="256"/>
      <c r="E13" s="256">
        <f>E5+E12</f>
        <v>34.4</v>
      </c>
      <c r="F13" s="233" t="s">
        <v>721</v>
      </c>
      <c r="G13" s="233"/>
      <c r="H13" s="233"/>
      <c r="I13" s="234">
        <f>E5/E12</f>
        <v>2.0175438596491229</v>
      </c>
      <c r="J13" s="140"/>
    </row>
    <row r="14" spans="1:10" x14ac:dyDescent="0.25">
      <c r="A14" s="233"/>
      <c r="B14" s="233"/>
      <c r="C14" s="240"/>
      <c r="D14" s="233"/>
      <c r="E14" s="233"/>
      <c r="F14" s="233"/>
      <c r="G14" s="233"/>
      <c r="H14" s="233"/>
      <c r="I14" s="233"/>
      <c r="J14" s="140"/>
    </row>
    <row r="15" spans="1:10" ht="31.5" customHeight="1" x14ac:dyDescent="0.25">
      <c r="A15" s="794" t="s">
        <v>722</v>
      </c>
      <c r="B15" s="794"/>
      <c r="C15" s="794" t="s">
        <v>752</v>
      </c>
      <c r="D15" s="794" t="s">
        <v>753</v>
      </c>
      <c r="E15" s="254" t="s">
        <v>754</v>
      </c>
      <c r="F15" s="234"/>
      <c r="G15" s="234"/>
      <c r="H15" s="233"/>
      <c r="I15" s="233"/>
      <c r="J15" s="140"/>
    </row>
    <row r="16" spans="1:10" x14ac:dyDescent="0.25">
      <c r="A16" s="259" t="s">
        <v>723</v>
      </c>
      <c r="B16" s="259"/>
      <c r="C16" s="261">
        <f>$I$8^1</f>
        <v>2.1301234858254463</v>
      </c>
      <c r="D16" s="262">
        <f>C16-1</f>
        <v>1.1301234858254463</v>
      </c>
      <c r="E16" s="265">
        <f>$I$6*D16</f>
        <v>5.584912575300171E-4</v>
      </c>
      <c r="F16" s="234"/>
      <c r="G16" s="234"/>
      <c r="H16" s="233"/>
      <c r="I16" s="233"/>
      <c r="J16" s="140"/>
    </row>
    <row r="17" spans="1:10" x14ac:dyDescent="0.25">
      <c r="A17" s="259" t="s">
        <v>724</v>
      </c>
      <c r="B17" s="259"/>
      <c r="C17" s="261">
        <f>$I$8^2</f>
        <v>4.5374260648651505</v>
      </c>
      <c r="D17" s="262">
        <f>C17-1</f>
        <v>3.5374260648651505</v>
      </c>
      <c r="E17" s="265">
        <f t="shared" ref="E17:E19" si="1">$I$6*D17</f>
        <v>1.7481466018228944E-3</v>
      </c>
      <c r="F17" s="234"/>
      <c r="G17" s="234"/>
      <c r="H17" s="233"/>
      <c r="I17" s="233"/>
      <c r="J17" s="140"/>
    </row>
    <row r="18" spans="1:10" x14ac:dyDescent="0.25">
      <c r="A18" s="259" t="s">
        <v>725</v>
      </c>
      <c r="B18" s="259"/>
      <c r="C18" s="261">
        <f>$I$8^3</f>
        <v>9.6652778259657914</v>
      </c>
      <c r="D18" s="262">
        <f>C18-1</f>
        <v>8.6652778259657914</v>
      </c>
      <c r="E18" s="265">
        <f t="shared" si="1"/>
        <v>4.2822593907389092E-3</v>
      </c>
      <c r="F18" s="234"/>
      <c r="G18" s="234"/>
      <c r="H18" s="233"/>
      <c r="I18" s="233"/>
      <c r="J18" s="140"/>
    </row>
    <row r="19" spans="1:10" x14ac:dyDescent="0.25">
      <c r="A19" s="259" t="s">
        <v>726</v>
      </c>
      <c r="B19" s="259"/>
      <c r="C19" s="261">
        <f>$I$8^4</f>
        <v>20.588235294117645</v>
      </c>
      <c r="D19" s="262">
        <f>C19-1</f>
        <v>19.588235294117645</v>
      </c>
      <c r="E19" s="265">
        <f t="shared" si="1"/>
        <v>9.680232558139535E-3</v>
      </c>
      <c r="F19" s="234"/>
      <c r="G19" s="234"/>
      <c r="H19" s="233"/>
      <c r="I19" s="233"/>
      <c r="J19" s="140"/>
    </row>
    <row r="20" spans="1:10" x14ac:dyDescent="0.25">
      <c r="A20" s="234"/>
      <c r="B20" s="234"/>
      <c r="C20" s="234"/>
      <c r="D20" s="234"/>
      <c r="E20" s="234"/>
      <c r="F20" s="234"/>
      <c r="G20" s="234"/>
      <c r="H20" s="233"/>
      <c r="I20" s="233"/>
      <c r="J20" s="140"/>
    </row>
    <row r="21" spans="1:10" x14ac:dyDescent="0.25">
      <c r="A21" s="249" t="s">
        <v>727</v>
      </c>
      <c r="B21" s="249"/>
      <c r="C21" s="248"/>
      <c r="D21" s="248"/>
      <c r="E21" s="248"/>
      <c r="F21" s="248"/>
      <c r="G21" s="248"/>
      <c r="H21" s="250"/>
      <c r="I21" s="250"/>
      <c r="J21" s="140"/>
    </row>
    <row r="22" spans="1:10" s="83" customFormat="1" x14ac:dyDescent="0.25">
      <c r="A22" s="236"/>
      <c r="B22" s="236"/>
      <c r="C22" s="234"/>
      <c r="D22" s="234"/>
      <c r="E22" s="234"/>
      <c r="F22" s="234"/>
      <c r="G22" s="234"/>
      <c r="H22" s="251"/>
      <c r="I22" s="251"/>
      <c r="J22" s="140"/>
    </row>
    <row r="23" spans="1:10" ht="38.25" customHeight="1" x14ac:dyDescent="0.25">
      <c r="A23" s="795" t="s">
        <v>728</v>
      </c>
      <c r="B23" s="795"/>
      <c r="C23" s="247" t="s">
        <v>755</v>
      </c>
      <c r="D23" s="247" t="s">
        <v>729</v>
      </c>
      <c r="E23" s="247" t="s">
        <v>379</v>
      </c>
      <c r="F23" s="247" t="s">
        <v>730</v>
      </c>
      <c r="G23" s="247" t="s">
        <v>731</v>
      </c>
      <c r="H23" s="233"/>
      <c r="I23" s="233"/>
      <c r="J23" s="140"/>
    </row>
    <row r="24" spans="1:10" x14ac:dyDescent="0.25">
      <c r="A24" s="246" t="s">
        <v>732</v>
      </c>
      <c r="B24" s="246"/>
      <c r="C24" s="263">
        <f>E16</f>
        <v>5.584912575300171E-4</v>
      </c>
      <c r="D24" s="252">
        <v>1</v>
      </c>
      <c r="E24" s="252">
        <f>$D$6</f>
        <v>1</v>
      </c>
      <c r="F24" s="252">
        <f>D24*E24</f>
        <v>1</v>
      </c>
      <c r="G24" s="263">
        <f>C24*F24</f>
        <v>5.584912575300171E-4</v>
      </c>
      <c r="H24" s="233"/>
      <c r="I24" s="233"/>
      <c r="J24" s="140"/>
    </row>
    <row r="25" spans="1:10" x14ac:dyDescent="0.25">
      <c r="A25" s="246" t="s">
        <v>733</v>
      </c>
      <c r="B25" s="246"/>
      <c r="C25" s="263">
        <f t="shared" ref="C25:C27" si="2">E17</f>
        <v>1.7481466018228944E-3</v>
      </c>
      <c r="D25" s="252">
        <v>3</v>
      </c>
      <c r="E25" s="252">
        <f t="shared" ref="E25:E27" si="3">$D$6</f>
        <v>1</v>
      </c>
      <c r="F25" s="252">
        <f>D25*E25</f>
        <v>3</v>
      </c>
      <c r="G25" s="263">
        <f>C25*F25</f>
        <v>5.2444398054686831E-3</v>
      </c>
      <c r="H25" s="233"/>
      <c r="I25" s="233"/>
      <c r="J25" s="140"/>
    </row>
    <row r="26" spans="1:10" x14ac:dyDescent="0.25">
      <c r="A26" s="246" t="s">
        <v>734</v>
      </c>
      <c r="B26" s="246"/>
      <c r="C26" s="263">
        <f t="shared" si="2"/>
        <v>4.2822593907389092E-3</v>
      </c>
      <c r="D26" s="252"/>
      <c r="E26" s="252">
        <f t="shared" si="3"/>
        <v>1</v>
      </c>
      <c r="F26" s="252">
        <f>D26*E26</f>
        <v>0</v>
      </c>
      <c r="G26" s="263">
        <f>C26*F26</f>
        <v>0</v>
      </c>
      <c r="H26" s="233"/>
      <c r="I26" s="233"/>
      <c r="J26" s="140"/>
    </row>
    <row r="27" spans="1:10" x14ac:dyDescent="0.25">
      <c r="A27" s="246" t="s">
        <v>735</v>
      </c>
      <c r="B27" s="246"/>
      <c r="C27" s="263">
        <f t="shared" si="2"/>
        <v>9.680232558139535E-3</v>
      </c>
      <c r="D27" s="252"/>
      <c r="E27" s="252">
        <f t="shared" si="3"/>
        <v>1</v>
      </c>
      <c r="F27" s="252">
        <f>D27*E27</f>
        <v>0</v>
      </c>
      <c r="G27" s="263">
        <f>C27*F27</f>
        <v>0</v>
      </c>
      <c r="H27" s="233"/>
      <c r="I27" s="233"/>
      <c r="J27" s="140"/>
    </row>
    <row r="28" spans="1:10" x14ac:dyDescent="0.25">
      <c r="A28" s="245" t="s">
        <v>736</v>
      </c>
      <c r="B28" s="245"/>
      <c r="C28" s="253"/>
      <c r="D28" s="253">
        <f>SUM(D24:D27)</f>
        <v>4</v>
      </c>
      <c r="E28" s="253"/>
      <c r="F28" s="253">
        <f>SUM(F24:F27)</f>
        <v>4</v>
      </c>
      <c r="G28" s="264">
        <f>SUM(G24:G27)</f>
        <v>5.8029310629986999E-3</v>
      </c>
      <c r="H28" s="233"/>
      <c r="I28" s="233"/>
      <c r="J28" s="140"/>
    </row>
    <row r="29" spans="1:10" x14ac:dyDescent="0.25">
      <c r="A29" s="234"/>
      <c r="B29" s="234"/>
      <c r="C29" s="242"/>
      <c r="D29" s="242"/>
      <c r="E29" s="242"/>
      <c r="F29" s="242"/>
      <c r="G29" s="242"/>
      <c r="H29" s="233"/>
      <c r="I29" s="233"/>
      <c r="J29" s="140"/>
    </row>
    <row r="30" spans="1:10" ht="36.75" customHeight="1" x14ac:dyDescent="0.25">
      <c r="A30" s="795" t="s">
        <v>737</v>
      </c>
      <c r="B30" s="795"/>
      <c r="C30" s="795" t="s">
        <v>755</v>
      </c>
      <c r="D30" s="795" t="s">
        <v>729</v>
      </c>
      <c r="E30" s="247" t="s">
        <v>379</v>
      </c>
      <c r="F30" s="247" t="s">
        <v>730</v>
      </c>
      <c r="G30" s="247" t="s">
        <v>731</v>
      </c>
      <c r="H30" s="233"/>
      <c r="I30" s="233"/>
      <c r="J30" s="140"/>
    </row>
    <row r="31" spans="1:10" x14ac:dyDescent="0.25">
      <c r="A31" s="246" t="s">
        <v>732</v>
      </c>
      <c r="B31" s="246"/>
      <c r="C31" s="263">
        <f t="shared" ref="C31:C33" si="4">$I$6*D16</f>
        <v>5.584912575300171E-4</v>
      </c>
      <c r="D31" s="252"/>
      <c r="E31" s="252">
        <f>$D$7</f>
        <v>1</v>
      </c>
      <c r="F31" s="252">
        <f>D31*E31</f>
        <v>0</v>
      </c>
      <c r="G31" s="263">
        <f>C31*F31</f>
        <v>0</v>
      </c>
      <c r="H31" s="233"/>
      <c r="I31" s="233"/>
      <c r="J31" s="140"/>
    </row>
    <row r="32" spans="1:10" x14ac:dyDescent="0.25">
      <c r="A32" s="246" t="s">
        <v>733</v>
      </c>
      <c r="B32" s="246"/>
      <c r="C32" s="263">
        <f t="shared" si="4"/>
        <v>1.7481466018228944E-3</v>
      </c>
      <c r="D32" s="252">
        <v>2</v>
      </c>
      <c r="E32" s="252">
        <f t="shared" ref="E32:E34" si="5">$D$7</f>
        <v>1</v>
      </c>
      <c r="F32" s="252">
        <f>D32*E32</f>
        <v>2</v>
      </c>
      <c r="G32" s="263">
        <f>C32*F32</f>
        <v>3.4962932036457887E-3</v>
      </c>
      <c r="H32" s="233"/>
      <c r="I32" s="233"/>
      <c r="J32" s="140"/>
    </row>
    <row r="33" spans="1:10" x14ac:dyDescent="0.25">
      <c r="A33" s="246" t="s">
        <v>734</v>
      </c>
      <c r="B33" s="246"/>
      <c r="C33" s="263">
        <f t="shared" si="4"/>
        <v>4.2822593907389092E-3</v>
      </c>
      <c r="D33" s="252">
        <v>1</v>
      </c>
      <c r="E33" s="252">
        <f t="shared" si="5"/>
        <v>1</v>
      </c>
      <c r="F33" s="252">
        <f>D33*E33</f>
        <v>1</v>
      </c>
      <c r="G33" s="263">
        <f>C33*F33</f>
        <v>4.2822593907389092E-3</v>
      </c>
      <c r="H33" s="233"/>
      <c r="I33" s="233"/>
      <c r="J33" s="140"/>
    </row>
    <row r="34" spans="1:10" x14ac:dyDescent="0.25">
      <c r="A34" s="246" t="s">
        <v>735</v>
      </c>
      <c r="B34" s="246"/>
      <c r="C34" s="263">
        <f>$I$6*D19</f>
        <v>9.680232558139535E-3</v>
      </c>
      <c r="D34" s="252"/>
      <c r="E34" s="252">
        <f t="shared" si="5"/>
        <v>1</v>
      </c>
      <c r="F34" s="252">
        <f>D34*E34</f>
        <v>0</v>
      </c>
      <c r="G34" s="263">
        <f>C34*F34</f>
        <v>0</v>
      </c>
      <c r="H34" s="233"/>
      <c r="I34" s="233"/>
      <c r="J34" s="140"/>
    </row>
    <row r="35" spans="1:10" x14ac:dyDescent="0.25">
      <c r="A35" s="245" t="s">
        <v>736</v>
      </c>
      <c r="B35" s="245"/>
      <c r="C35" s="253"/>
      <c r="D35" s="253">
        <f>SUM(D31:D34)</f>
        <v>3</v>
      </c>
      <c r="E35" s="253"/>
      <c r="F35" s="253">
        <f>SUM(F31:F34)</f>
        <v>3</v>
      </c>
      <c r="G35" s="264">
        <f>SUM(G31:G34)</f>
        <v>7.7785525943846979E-3</v>
      </c>
      <c r="H35" s="233"/>
      <c r="I35" s="233"/>
      <c r="J35" s="140"/>
    </row>
    <row r="36" spans="1:10" x14ac:dyDescent="0.25">
      <c r="A36" s="236"/>
      <c r="B36" s="236"/>
      <c r="C36" s="235"/>
      <c r="D36" s="235"/>
      <c r="E36" s="235"/>
      <c r="F36" s="235"/>
      <c r="G36" s="235"/>
      <c r="H36" s="233"/>
      <c r="I36" s="233"/>
      <c r="J36" s="140"/>
    </row>
    <row r="37" spans="1:10" ht="39" customHeight="1" x14ac:dyDescent="0.25">
      <c r="A37" s="795" t="s">
        <v>715</v>
      </c>
      <c r="B37" s="795"/>
      <c r="C37" s="795" t="s">
        <v>755</v>
      </c>
      <c r="D37" s="795" t="s">
        <v>729</v>
      </c>
      <c r="E37" s="247" t="s">
        <v>379</v>
      </c>
      <c r="F37" s="247" t="s">
        <v>730</v>
      </c>
      <c r="G37" s="247" t="s">
        <v>731</v>
      </c>
      <c r="H37" s="233"/>
      <c r="I37" s="233"/>
      <c r="J37" s="140"/>
    </row>
    <row r="38" spans="1:10" x14ac:dyDescent="0.25">
      <c r="A38" s="246" t="s">
        <v>732</v>
      </c>
      <c r="B38" s="246"/>
      <c r="C38" s="263">
        <f>$I$6*D16</f>
        <v>5.584912575300171E-4</v>
      </c>
      <c r="D38" s="252"/>
      <c r="E38" s="252">
        <f>$D$8</f>
        <v>1</v>
      </c>
      <c r="F38" s="252">
        <f>D38*E38</f>
        <v>0</v>
      </c>
      <c r="G38" s="263">
        <f>C38*F38</f>
        <v>0</v>
      </c>
      <c r="H38" s="233"/>
      <c r="I38" s="233"/>
      <c r="J38" s="140"/>
    </row>
    <row r="39" spans="1:10" x14ac:dyDescent="0.25">
      <c r="A39" s="246" t="s">
        <v>733</v>
      </c>
      <c r="B39" s="246"/>
      <c r="C39" s="263">
        <f t="shared" ref="C39:C41" si="6">$I$6*D17</f>
        <v>1.7481466018228944E-3</v>
      </c>
      <c r="D39" s="252">
        <v>4</v>
      </c>
      <c r="E39" s="252">
        <f t="shared" ref="E39:E41" si="7">$D$8</f>
        <v>1</v>
      </c>
      <c r="F39" s="252">
        <f>D39*E39</f>
        <v>4</v>
      </c>
      <c r="G39" s="263">
        <f>C39*F39</f>
        <v>6.9925864072915775E-3</v>
      </c>
      <c r="H39" s="233"/>
      <c r="I39" s="233"/>
      <c r="J39" s="140"/>
    </row>
    <row r="40" spans="1:10" x14ac:dyDescent="0.25">
      <c r="A40" s="246" t="s">
        <v>734</v>
      </c>
      <c r="B40" s="246"/>
      <c r="C40" s="263">
        <f t="shared" si="6"/>
        <v>4.2822593907389092E-3</v>
      </c>
      <c r="D40" s="252">
        <v>2</v>
      </c>
      <c r="E40" s="252">
        <f t="shared" si="7"/>
        <v>1</v>
      </c>
      <c r="F40" s="252">
        <f>D40*E40</f>
        <v>2</v>
      </c>
      <c r="G40" s="263">
        <f>C40*F40</f>
        <v>8.5645187814778184E-3</v>
      </c>
      <c r="H40" s="233"/>
      <c r="I40" s="233"/>
      <c r="J40" s="140"/>
    </row>
    <row r="41" spans="1:10" x14ac:dyDescent="0.25">
      <c r="A41" s="246" t="s">
        <v>735</v>
      </c>
      <c r="B41" s="246"/>
      <c r="C41" s="263">
        <f t="shared" si="6"/>
        <v>9.680232558139535E-3</v>
      </c>
      <c r="D41" s="252"/>
      <c r="E41" s="252">
        <f t="shared" si="7"/>
        <v>1</v>
      </c>
      <c r="F41" s="252">
        <f>D41*E41</f>
        <v>0</v>
      </c>
      <c r="G41" s="263">
        <f>C41*F41</f>
        <v>0</v>
      </c>
      <c r="H41" s="233"/>
      <c r="I41" s="233"/>
      <c r="J41" s="140"/>
    </row>
    <row r="42" spans="1:10" x14ac:dyDescent="0.25">
      <c r="A42" s="245" t="s">
        <v>736</v>
      </c>
      <c r="B42" s="245"/>
      <c r="C42" s="253"/>
      <c r="D42" s="253">
        <f>SUM(D38:D41)</f>
        <v>6</v>
      </c>
      <c r="E42" s="253"/>
      <c r="F42" s="253">
        <f>SUM(F38:F41)</f>
        <v>6</v>
      </c>
      <c r="G42" s="264">
        <f>SUM(G38:G41)</f>
        <v>1.5557105188769396E-2</v>
      </c>
      <c r="H42" s="233"/>
      <c r="I42" s="233"/>
      <c r="J42" s="140"/>
    </row>
    <row r="43" spans="1:10" x14ac:dyDescent="0.25">
      <c r="A43" s="234"/>
      <c r="B43" s="234"/>
      <c r="C43" s="242"/>
      <c r="D43" s="242"/>
      <c r="E43" s="242"/>
      <c r="F43" s="242"/>
      <c r="G43" s="242"/>
      <c r="H43" s="233"/>
      <c r="I43" s="233"/>
      <c r="J43" s="140"/>
    </row>
    <row r="44" spans="1:10" ht="36" x14ac:dyDescent="0.25">
      <c r="A44" s="795" t="s">
        <v>716</v>
      </c>
      <c r="B44" s="795"/>
      <c r="C44" s="795" t="s">
        <v>755</v>
      </c>
      <c r="D44" s="795" t="s">
        <v>729</v>
      </c>
      <c r="E44" s="247" t="s">
        <v>379</v>
      </c>
      <c r="F44" s="247" t="s">
        <v>730</v>
      </c>
      <c r="G44" s="247" t="s">
        <v>731</v>
      </c>
      <c r="H44" s="233"/>
      <c r="I44" s="233"/>
      <c r="J44" s="140"/>
    </row>
    <row r="45" spans="1:10" x14ac:dyDescent="0.25">
      <c r="A45" s="246" t="s">
        <v>732</v>
      </c>
      <c r="B45" s="246"/>
      <c r="C45" s="263">
        <f>$I$6*D16</f>
        <v>5.584912575300171E-4</v>
      </c>
      <c r="D45" s="252">
        <v>1</v>
      </c>
      <c r="E45" s="252">
        <f>$D$9</f>
        <v>1</v>
      </c>
      <c r="F45" s="252">
        <f>D45*E45</f>
        <v>1</v>
      </c>
      <c r="G45" s="263">
        <f>C45*F45</f>
        <v>5.584912575300171E-4</v>
      </c>
      <c r="H45" s="233"/>
      <c r="I45" s="233"/>
      <c r="J45" s="140"/>
    </row>
    <row r="46" spans="1:10" x14ac:dyDescent="0.25">
      <c r="A46" s="246" t="s">
        <v>733</v>
      </c>
      <c r="B46" s="246"/>
      <c r="C46" s="263">
        <f t="shared" ref="C46:C48" si="8">$I$6*D17</f>
        <v>1.7481466018228944E-3</v>
      </c>
      <c r="D46" s="252">
        <v>1</v>
      </c>
      <c r="E46" s="252">
        <f t="shared" ref="E46:E48" si="9">$D$9</f>
        <v>1</v>
      </c>
      <c r="F46" s="252">
        <f>D46*E46</f>
        <v>1</v>
      </c>
      <c r="G46" s="263">
        <f>C46*F46</f>
        <v>1.7481466018228944E-3</v>
      </c>
      <c r="H46" s="233"/>
      <c r="I46" s="233"/>
      <c r="J46" s="140"/>
    </row>
    <row r="47" spans="1:10" x14ac:dyDescent="0.25">
      <c r="A47" s="246" t="s">
        <v>734</v>
      </c>
      <c r="B47" s="246"/>
      <c r="C47" s="263">
        <f t="shared" si="8"/>
        <v>4.2822593907389092E-3</v>
      </c>
      <c r="D47" s="252">
        <v>1</v>
      </c>
      <c r="E47" s="252">
        <f t="shared" si="9"/>
        <v>1</v>
      </c>
      <c r="F47" s="252">
        <f>D47*E47</f>
        <v>1</v>
      </c>
      <c r="G47" s="263">
        <f>C47*F47</f>
        <v>4.2822593907389092E-3</v>
      </c>
      <c r="H47" s="233"/>
      <c r="I47" s="233"/>
      <c r="J47" s="140"/>
    </row>
    <row r="48" spans="1:10" x14ac:dyDescent="0.25">
      <c r="A48" s="246" t="s">
        <v>735</v>
      </c>
      <c r="B48" s="246"/>
      <c r="C48" s="263">
        <f t="shared" si="8"/>
        <v>9.680232558139535E-3</v>
      </c>
      <c r="D48" s="252"/>
      <c r="E48" s="252">
        <f t="shared" si="9"/>
        <v>1</v>
      </c>
      <c r="F48" s="252">
        <f>D48*E48</f>
        <v>0</v>
      </c>
      <c r="G48" s="263">
        <f>C48*F48</f>
        <v>0</v>
      </c>
      <c r="H48" s="233"/>
      <c r="I48" s="233"/>
      <c r="J48" s="140"/>
    </row>
    <row r="49" spans="1:10" x14ac:dyDescent="0.25">
      <c r="A49" s="245" t="s">
        <v>736</v>
      </c>
      <c r="B49" s="245"/>
      <c r="C49" s="253"/>
      <c r="D49" s="253">
        <f>SUM(D45:D48)</f>
        <v>3</v>
      </c>
      <c r="E49" s="253"/>
      <c r="F49" s="253">
        <f>SUM(F45:F48)</f>
        <v>3</v>
      </c>
      <c r="G49" s="264">
        <f>SUM(G45:G48)</f>
        <v>6.5888972500918203E-3</v>
      </c>
      <c r="H49" s="233"/>
      <c r="I49" s="233"/>
      <c r="J49" s="140"/>
    </row>
    <row r="50" spans="1:10" x14ac:dyDescent="0.25">
      <c r="A50" s="234"/>
      <c r="B50" s="234"/>
      <c r="C50" s="242"/>
      <c r="D50" s="242"/>
      <c r="E50" s="242"/>
      <c r="F50" s="242"/>
      <c r="G50" s="242"/>
      <c r="H50" s="233"/>
      <c r="I50" s="233"/>
      <c r="J50" s="140"/>
    </row>
    <row r="51" spans="1:10" ht="36" x14ac:dyDescent="0.25">
      <c r="A51" s="795" t="s">
        <v>717</v>
      </c>
      <c r="B51" s="795"/>
      <c r="C51" s="795" t="s">
        <v>755</v>
      </c>
      <c r="D51" s="795" t="s">
        <v>729</v>
      </c>
      <c r="E51" s="247" t="s">
        <v>379</v>
      </c>
      <c r="F51" s="247" t="s">
        <v>730</v>
      </c>
      <c r="G51" s="247" t="s">
        <v>731</v>
      </c>
      <c r="H51" s="233"/>
      <c r="I51" s="233"/>
      <c r="J51" s="140"/>
    </row>
    <row r="52" spans="1:10" x14ac:dyDescent="0.25">
      <c r="A52" s="246" t="s">
        <v>732</v>
      </c>
      <c r="B52" s="246"/>
      <c r="C52" s="263">
        <f>$I$6*D16</f>
        <v>5.584912575300171E-4</v>
      </c>
      <c r="D52" s="252"/>
      <c r="E52" s="252">
        <f>$D$10</f>
        <v>1</v>
      </c>
      <c r="F52" s="252">
        <f>D52*E52</f>
        <v>0</v>
      </c>
      <c r="G52" s="263">
        <f>C52*F52</f>
        <v>0</v>
      </c>
      <c r="H52" s="233"/>
      <c r="I52" s="233"/>
      <c r="J52" s="140"/>
    </row>
    <row r="53" spans="1:10" x14ac:dyDescent="0.25">
      <c r="A53" s="246" t="s">
        <v>733</v>
      </c>
      <c r="B53" s="246"/>
      <c r="C53" s="263">
        <f t="shared" ref="C53:C55" si="10">$I$6*D17</f>
        <v>1.7481466018228944E-3</v>
      </c>
      <c r="D53" s="252">
        <v>1</v>
      </c>
      <c r="E53" s="252">
        <f t="shared" ref="E53:E55" si="11">$D$10</f>
        <v>1</v>
      </c>
      <c r="F53" s="252">
        <f>D53*E53</f>
        <v>1</v>
      </c>
      <c r="G53" s="263">
        <f>C53*F53</f>
        <v>1.7481466018228944E-3</v>
      </c>
      <c r="H53" s="233"/>
      <c r="I53" s="233"/>
      <c r="J53" s="140"/>
    </row>
    <row r="54" spans="1:10" x14ac:dyDescent="0.25">
      <c r="A54" s="246" t="s">
        <v>734</v>
      </c>
      <c r="B54" s="246"/>
      <c r="C54" s="263">
        <f t="shared" si="10"/>
        <v>4.2822593907389092E-3</v>
      </c>
      <c r="D54" s="252">
        <v>2</v>
      </c>
      <c r="E54" s="252">
        <f t="shared" si="11"/>
        <v>1</v>
      </c>
      <c r="F54" s="252">
        <f>D54*E54</f>
        <v>2</v>
      </c>
      <c r="G54" s="263">
        <f>C54*F54</f>
        <v>8.5645187814778184E-3</v>
      </c>
      <c r="H54" s="233"/>
      <c r="I54" s="233"/>
      <c r="J54" s="140"/>
    </row>
    <row r="55" spans="1:10" x14ac:dyDescent="0.25">
      <c r="A55" s="246" t="s">
        <v>735</v>
      </c>
      <c r="B55" s="246"/>
      <c r="C55" s="263">
        <f t="shared" si="10"/>
        <v>9.680232558139535E-3</v>
      </c>
      <c r="D55" s="252"/>
      <c r="E55" s="252">
        <f t="shared" si="11"/>
        <v>1</v>
      </c>
      <c r="F55" s="252">
        <f>D55*E55</f>
        <v>0</v>
      </c>
      <c r="G55" s="263">
        <f>C55*F55</f>
        <v>0</v>
      </c>
      <c r="H55" s="233"/>
      <c r="I55" s="233"/>
      <c r="J55" s="140"/>
    </row>
    <row r="56" spans="1:10" x14ac:dyDescent="0.25">
      <c r="A56" s="245" t="s">
        <v>736</v>
      </c>
      <c r="B56" s="245"/>
      <c r="C56" s="253"/>
      <c r="D56" s="253">
        <f>SUM(D52:D55)</f>
        <v>3</v>
      </c>
      <c r="E56" s="253"/>
      <c r="F56" s="253">
        <f>SUM(F52:F55)</f>
        <v>3</v>
      </c>
      <c r="G56" s="264">
        <f>SUM(G52:G55)</f>
        <v>1.0312665383300713E-2</v>
      </c>
      <c r="H56" s="233"/>
      <c r="I56" s="233"/>
      <c r="J56" s="140"/>
    </row>
    <row r="57" spans="1:10" x14ac:dyDescent="0.25">
      <c r="A57" s="234"/>
      <c r="B57" s="234"/>
      <c r="C57" s="242"/>
      <c r="D57" s="242"/>
      <c r="E57" s="242"/>
      <c r="F57" s="242"/>
      <c r="G57" s="242"/>
      <c r="H57" s="233"/>
      <c r="I57" s="233"/>
      <c r="J57" s="140"/>
    </row>
    <row r="58" spans="1:10" ht="36" x14ac:dyDescent="0.25">
      <c r="A58" s="795" t="s">
        <v>738</v>
      </c>
      <c r="B58" s="795"/>
      <c r="C58" s="795" t="s">
        <v>755</v>
      </c>
      <c r="D58" s="795" t="s">
        <v>729</v>
      </c>
      <c r="E58" s="247" t="s">
        <v>379</v>
      </c>
      <c r="F58" s="247" t="s">
        <v>730</v>
      </c>
      <c r="G58" s="247" t="s">
        <v>731</v>
      </c>
      <c r="H58" s="233"/>
      <c r="I58" s="233"/>
      <c r="J58" s="140"/>
    </row>
    <row r="59" spans="1:10" x14ac:dyDescent="0.25">
      <c r="A59" s="246" t="s">
        <v>732</v>
      </c>
      <c r="B59" s="246"/>
      <c r="C59" s="263">
        <f>$I$6*D16</f>
        <v>5.584912575300171E-4</v>
      </c>
      <c r="D59" s="252"/>
      <c r="E59" s="252">
        <f>$D$11</f>
        <v>1</v>
      </c>
      <c r="F59" s="252">
        <f>D59*E59</f>
        <v>0</v>
      </c>
      <c r="G59" s="263">
        <f>C59*F59</f>
        <v>0</v>
      </c>
      <c r="H59" s="233"/>
      <c r="I59" s="233"/>
      <c r="J59" s="140"/>
    </row>
    <row r="60" spans="1:10" x14ac:dyDescent="0.25">
      <c r="A60" s="246" t="s">
        <v>733</v>
      </c>
      <c r="B60" s="246"/>
      <c r="C60" s="263">
        <f t="shared" ref="C60:C62" si="12">$I$6*D17</f>
        <v>1.7481466018228944E-3</v>
      </c>
      <c r="D60" s="252">
        <v>1</v>
      </c>
      <c r="E60" s="252">
        <f t="shared" ref="E60:E62" si="13">$D$11</f>
        <v>1</v>
      </c>
      <c r="F60" s="252">
        <f>D60*E60</f>
        <v>1</v>
      </c>
      <c r="G60" s="263">
        <f>C60*F60</f>
        <v>1.7481466018228944E-3</v>
      </c>
      <c r="H60" s="233"/>
      <c r="I60" s="233"/>
      <c r="J60" s="140"/>
    </row>
    <row r="61" spans="1:10" x14ac:dyDescent="0.25">
      <c r="A61" s="246" t="s">
        <v>734</v>
      </c>
      <c r="B61" s="246"/>
      <c r="C61" s="263">
        <f t="shared" si="12"/>
        <v>4.2822593907389092E-3</v>
      </c>
      <c r="D61" s="252">
        <v>3</v>
      </c>
      <c r="E61" s="252">
        <f t="shared" si="13"/>
        <v>1</v>
      </c>
      <c r="F61" s="252">
        <f>D61*E61</f>
        <v>3</v>
      </c>
      <c r="G61" s="263">
        <f>C61*F61</f>
        <v>1.2846778172216727E-2</v>
      </c>
      <c r="H61" s="233"/>
      <c r="I61" s="233"/>
      <c r="J61" s="140"/>
    </row>
    <row r="62" spans="1:10" x14ac:dyDescent="0.25">
      <c r="A62" s="246" t="s">
        <v>735</v>
      </c>
      <c r="B62" s="246"/>
      <c r="C62" s="263">
        <f t="shared" si="12"/>
        <v>9.680232558139535E-3</v>
      </c>
      <c r="D62" s="252"/>
      <c r="E62" s="252">
        <f t="shared" si="13"/>
        <v>1</v>
      </c>
      <c r="F62" s="252">
        <f>D62*E62</f>
        <v>0</v>
      </c>
      <c r="G62" s="263">
        <f>C62*F62</f>
        <v>0</v>
      </c>
      <c r="H62" s="233"/>
      <c r="I62" s="233"/>
      <c r="J62" s="140"/>
    </row>
    <row r="63" spans="1:10" x14ac:dyDescent="0.25">
      <c r="A63" s="245" t="s">
        <v>736</v>
      </c>
      <c r="B63" s="245"/>
      <c r="C63" s="253"/>
      <c r="D63" s="253">
        <f>SUM(D59:D62)</f>
        <v>4</v>
      </c>
      <c r="E63" s="253"/>
      <c r="F63" s="253">
        <f>SUM(F59:F62)</f>
        <v>4</v>
      </c>
      <c r="G63" s="264">
        <f>SUM(G59:G62)</f>
        <v>1.4594924774039621E-2</v>
      </c>
      <c r="H63" s="233"/>
      <c r="I63" s="233"/>
      <c r="J63" s="140"/>
    </row>
    <row r="64" spans="1:10" x14ac:dyDescent="0.25">
      <c r="A64" s="236"/>
      <c r="B64" s="236"/>
      <c r="C64" s="243"/>
      <c r="D64" s="243"/>
      <c r="E64" s="243"/>
      <c r="F64" s="243"/>
      <c r="G64" s="244"/>
      <c r="H64" s="233"/>
      <c r="I64" s="233"/>
      <c r="J64" s="140"/>
    </row>
    <row r="65" spans="1:10" x14ac:dyDescent="0.25">
      <c r="A65" s="249" t="s">
        <v>739</v>
      </c>
      <c r="B65" s="249"/>
      <c r="C65" s="248"/>
      <c r="D65" s="248"/>
      <c r="E65" s="248"/>
      <c r="F65" s="248"/>
      <c r="G65" s="248"/>
      <c r="H65" s="250"/>
      <c r="I65" s="250"/>
      <c r="J65" s="140"/>
    </row>
    <row r="66" spans="1:10" x14ac:dyDescent="0.25">
      <c r="A66" s="241"/>
      <c r="B66" s="241"/>
      <c r="C66" s="234"/>
      <c r="D66" s="234"/>
      <c r="E66" s="234"/>
      <c r="F66" s="234"/>
      <c r="G66" s="234"/>
      <c r="H66" s="233"/>
      <c r="I66" s="233"/>
      <c r="J66" s="140"/>
    </row>
    <row r="67" spans="1:10" ht="36" x14ac:dyDescent="0.25">
      <c r="A67" s="795" t="s">
        <v>740</v>
      </c>
      <c r="B67" s="795"/>
      <c r="C67" s="795" t="s">
        <v>755</v>
      </c>
      <c r="D67" s="795" t="s">
        <v>729</v>
      </c>
      <c r="E67" s="247" t="s">
        <v>379</v>
      </c>
      <c r="F67" s="247" t="s">
        <v>730</v>
      </c>
      <c r="G67" s="247" t="s">
        <v>731</v>
      </c>
      <c r="H67" s="233"/>
      <c r="I67" s="233"/>
      <c r="J67" s="140"/>
    </row>
    <row r="68" spans="1:10" x14ac:dyDescent="0.25">
      <c r="A68" s="246" t="s">
        <v>732</v>
      </c>
      <c r="B68" s="246"/>
      <c r="C68" s="263">
        <f>$I$6*D16</f>
        <v>5.584912575300171E-4</v>
      </c>
      <c r="D68" s="252"/>
      <c r="E68" s="252">
        <f>$D$12</f>
        <v>1.9</v>
      </c>
      <c r="F68" s="252">
        <f>D68*E68</f>
        <v>0</v>
      </c>
      <c r="G68" s="263">
        <f>C68*F68</f>
        <v>0</v>
      </c>
      <c r="H68" s="233"/>
      <c r="I68" s="233"/>
      <c r="J68" s="140"/>
    </row>
    <row r="69" spans="1:10" x14ac:dyDescent="0.25">
      <c r="A69" s="246" t="s">
        <v>733</v>
      </c>
      <c r="B69" s="246"/>
      <c r="C69" s="263">
        <f t="shared" ref="C69:C71" si="14">$I$6*D17</f>
        <v>1.7481466018228944E-3</v>
      </c>
      <c r="D69" s="252">
        <v>4</v>
      </c>
      <c r="E69" s="252">
        <f t="shared" ref="E69:E71" si="15">$D$12</f>
        <v>1.9</v>
      </c>
      <c r="F69" s="252">
        <f>D69*E69</f>
        <v>7.6</v>
      </c>
      <c r="G69" s="263">
        <f>C69*F69</f>
        <v>1.3285914173853997E-2</v>
      </c>
      <c r="H69" s="233"/>
      <c r="I69" s="233"/>
      <c r="J69" s="140"/>
    </row>
    <row r="70" spans="1:10" x14ac:dyDescent="0.25">
      <c r="A70" s="246" t="s">
        <v>734</v>
      </c>
      <c r="B70" s="246"/>
      <c r="C70" s="263">
        <f t="shared" si="14"/>
        <v>4.2822593907389092E-3</v>
      </c>
      <c r="D70" s="252">
        <v>2</v>
      </c>
      <c r="E70" s="252">
        <f t="shared" si="15"/>
        <v>1.9</v>
      </c>
      <c r="F70" s="252">
        <f>D70*E70</f>
        <v>3.8</v>
      </c>
      <c r="G70" s="263">
        <f>C70*F70</f>
        <v>1.6272585684807855E-2</v>
      </c>
      <c r="H70" s="233"/>
      <c r="I70" s="233"/>
      <c r="J70" s="140"/>
    </row>
    <row r="71" spans="1:10" x14ac:dyDescent="0.25">
      <c r="A71" s="246" t="s">
        <v>735</v>
      </c>
      <c r="B71" s="246"/>
      <c r="C71" s="263">
        <f t="shared" si="14"/>
        <v>9.680232558139535E-3</v>
      </c>
      <c r="D71" s="252"/>
      <c r="E71" s="252">
        <f t="shared" si="15"/>
        <v>1.9</v>
      </c>
      <c r="F71" s="252">
        <f>D71*E71</f>
        <v>0</v>
      </c>
      <c r="G71" s="263">
        <f>C71*F71</f>
        <v>0</v>
      </c>
      <c r="H71" s="233"/>
      <c r="I71" s="233"/>
      <c r="J71" s="140"/>
    </row>
    <row r="72" spans="1:10" x14ac:dyDescent="0.25">
      <c r="A72" s="245" t="s">
        <v>736</v>
      </c>
      <c r="B72" s="245"/>
      <c r="C72" s="253"/>
      <c r="D72" s="253">
        <f>SUM(D68:D71)</f>
        <v>6</v>
      </c>
      <c r="E72" s="253"/>
      <c r="F72" s="253">
        <f>SUM(F68:F71)</f>
        <v>11.399999999999999</v>
      </c>
      <c r="G72" s="264">
        <f>SUM(G68:G71)</f>
        <v>2.9558499858661852E-2</v>
      </c>
      <c r="H72" s="233"/>
      <c r="I72" s="233"/>
      <c r="J72" s="140"/>
    </row>
    <row r="73" spans="1:10" x14ac:dyDescent="0.25">
      <c r="A73" s="234"/>
      <c r="B73" s="234"/>
      <c r="C73" s="234"/>
      <c r="D73" s="234"/>
      <c r="E73" s="234"/>
      <c r="F73" s="234"/>
      <c r="G73" s="234"/>
      <c r="H73" s="233"/>
      <c r="I73" s="233"/>
      <c r="J73" s="140"/>
    </row>
    <row r="74" spans="1:10" x14ac:dyDescent="0.25">
      <c r="A74" s="249" t="s">
        <v>741</v>
      </c>
      <c r="B74" s="249"/>
      <c r="C74" s="248"/>
      <c r="D74" s="248"/>
      <c r="E74" s="248"/>
      <c r="F74" s="248"/>
      <c r="G74" s="248"/>
      <c r="H74" s="250"/>
      <c r="I74" s="250"/>
      <c r="J74" s="140"/>
    </row>
    <row r="75" spans="1:10" x14ac:dyDescent="0.25">
      <c r="A75" s="234"/>
      <c r="B75" s="234"/>
      <c r="C75" s="234"/>
      <c r="D75" s="234"/>
      <c r="E75" s="234"/>
      <c r="F75" s="234"/>
      <c r="G75" s="234"/>
      <c r="H75" s="233"/>
      <c r="I75" s="233"/>
      <c r="J75" s="140"/>
    </row>
    <row r="76" spans="1:10" x14ac:dyDescent="0.25">
      <c r="A76" s="266" t="s">
        <v>742</v>
      </c>
      <c r="B76" s="266"/>
      <c r="C76" s="266"/>
      <c r="D76" s="266"/>
      <c r="E76" s="267">
        <f>I5</f>
        <v>1.7000000000000001E-2</v>
      </c>
      <c r="F76" s="234"/>
      <c r="G76" s="234"/>
      <c r="H76" s="233"/>
      <c r="I76" s="233"/>
      <c r="J76" s="140"/>
    </row>
    <row r="77" spans="1:10" x14ac:dyDescent="0.25">
      <c r="A77" s="268" t="s">
        <v>713</v>
      </c>
      <c r="B77" s="268"/>
      <c r="C77" s="269">
        <f>G28</f>
        <v>5.8029310629986999E-3</v>
      </c>
      <c r="D77" s="269"/>
      <c r="E77" s="270"/>
      <c r="F77" s="234"/>
      <c r="G77" s="234"/>
      <c r="H77" s="233"/>
      <c r="I77" s="233"/>
      <c r="J77" s="140"/>
    </row>
    <row r="78" spans="1:10" x14ac:dyDescent="0.25">
      <c r="A78" s="268" t="s">
        <v>714</v>
      </c>
      <c r="B78" s="268"/>
      <c r="C78" s="269">
        <f>G35</f>
        <v>7.7785525943846979E-3</v>
      </c>
      <c r="D78" s="269"/>
      <c r="E78" s="270"/>
      <c r="F78" s="234"/>
      <c r="G78" s="234"/>
      <c r="H78" s="233"/>
      <c r="I78" s="233"/>
      <c r="J78" s="140"/>
    </row>
    <row r="79" spans="1:10" x14ac:dyDescent="0.25">
      <c r="A79" s="268" t="s">
        <v>715</v>
      </c>
      <c r="B79" s="268"/>
      <c r="C79" s="269">
        <f>G42</f>
        <v>1.5557105188769396E-2</v>
      </c>
      <c r="D79" s="269"/>
      <c r="E79" s="270"/>
      <c r="F79" s="234"/>
      <c r="G79" s="234"/>
      <c r="H79" s="233"/>
      <c r="I79" s="233"/>
      <c r="J79" s="140"/>
    </row>
    <row r="80" spans="1:10" x14ac:dyDescent="0.25">
      <c r="A80" s="268" t="s">
        <v>716</v>
      </c>
      <c r="B80" s="268"/>
      <c r="C80" s="269">
        <f>G49</f>
        <v>6.5888972500918203E-3</v>
      </c>
      <c r="D80" s="269"/>
      <c r="E80" s="270"/>
      <c r="F80" s="234"/>
      <c r="G80" s="234"/>
      <c r="H80" s="233"/>
      <c r="I80" s="233"/>
      <c r="J80" s="140"/>
    </row>
    <row r="81" spans="1:10" x14ac:dyDescent="0.25">
      <c r="A81" s="268" t="s">
        <v>717</v>
      </c>
      <c r="B81" s="268"/>
      <c r="C81" s="269">
        <f>G56</f>
        <v>1.0312665383300713E-2</v>
      </c>
      <c r="D81" s="269"/>
      <c r="E81" s="270"/>
      <c r="F81" s="234"/>
      <c r="G81" s="234"/>
      <c r="H81" s="233"/>
      <c r="I81" s="233"/>
      <c r="J81" s="140"/>
    </row>
    <row r="82" spans="1:10" x14ac:dyDescent="0.25">
      <c r="A82" s="268" t="s">
        <v>718</v>
      </c>
      <c r="B82" s="268"/>
      <c r="C82" s="269">
        <f>G63</f>
        <v>1.4594924774039621E-2</v>
      </c>
      <c r="D82" s="269"/>
      <c r="E82" s="270"/>
      <c r="F82" s="234"/>
      <c r="G82" s="234"/>
      <c r="H82" s="233"/>
      <c r="I82" s="233"/>
      <c r="J82" s="140"/>
    </row>
    <row r="83" spans="1:10" x14ac:dyDescent="0.25">
      <c r="A83" s="271" t="s">
        <v>743</v>
      </c>
      <c r="B83" s="271"/>
      <c r="C83" s="272"/>
      <c r="D83" s="272">
        <f>SUM(C77:C82)</f>
        <v>6.0635076253584941E-2</v>
      </c>
      <c r="E83" s="273"/>
      <c r="F83" s="234"/>
      <c r="G83" s="234"/>
      <c r="H83" s="233"/>
      <c r="I83" s="233"/>
      <c r="J83" s="140"/>
    </row>
    <row r="84" spans="1:10" x14ac:dyDescent="0.25">
      <c r="A84" s="271" t="s">
        <v>744</v>
      </c>
      <c r="B84" s="271"/>
      <c r="C84" s="272"/>
      <c r="D84" s="272">
        <f>G72</f>
        <v>2.9558499858661852E-2</v>
      </c>
      <c r="E84" s="273"/>
      <c r="F84" s="234"/>
      <c r="G84" s="234"/>
      <c r="H84" s="233"/>
      <c r="I84" s="233"/>
      <c r="J84" s="140"/>
    </row>
    <row r="85" spans="1:10" x14ac:dyDescent="0.25">
      <c r="A85" s="273" t="s">
        <v>745</v>
      </c>
      <c r="B85" s="273"/>
      <c r="C85" s="273"/>
      <c r="D85" s="273"/>
      <c r="E85" s="274">
        <f>D83+D84</f>
        <v>9.0193576112246793E-2</v>
      </c>
      <c r="F85" s="234"/>
      <c r="G85" s="234"/>
      <c r="H85" s="233"/>
      <c r="I85" s="233"/>
      <c r="J85" s="140"/>
    </row>
    <row r="86" spans="1:10" x14ac:dyDescent="0.25">
      <c r="A86" s="273" t="s">
        <v>746</v>
      </c>
      <c r="B86" s="273"/>
      <c r="C86" s="273"/>
      <c r="D86" s="273"/>
      <c r="E86" s="274">
        <f>CAPM!H15</f>
        <v>1.4999999999999999E-2</v>
      </c>
      <c r="F86" s="234"/>
      <c r="G86" s="234"/>
      <c r="H86" s="233"/>
      <c r="I86" s="233"/>
      <c r="J86" s="140"/>
    </row>
    <row r="87" spans="1:10" x14ac:dyDescent="0.25">
      <c r="A87" s="275" t="s">
        <v>696</v>
      </c>
      <c r="B87" s="275"/>
      <c r="C87" s="275"/>
      <c r="D87" s="275"/>
      <c r="E87" s="276">
        <f>SUM(E76:E86)</f>
        <v>0.12219357611224679</v>
      </c>
      <c r="F87" s="234"/>
      <c r="G87" s="234"/>
      <c r="H87" s="233"/>
      <c r="I87" s="233"/>
      <c r="J87" s="140"/>
    </row>
    <row r="88" spans="1:10" x14ac:dyDescent="0.25">
      <c r="A88" s="233"/>
      <c r="B88" s="233"/>
      <c r="C88" s="233"/>
      <c r="D88" s="233"/>
      <c r="E88" s="233"/>
      <c r="F88" s="233"/>
      <c r="G88" s="233"/>
      <c r="H88" s="233"/>
      <c r="I88" s="233"/>
      <c r="J88" s="140"/>
    </row>
    <row r="89" spans="1:10" x14ac:dyDescent="0.25">
      <c r="A89" s="233"/>
      <c r="B89" s="233"/>
      <c r="C89" s="233"/>
      <c r="D89" s="233"/>
      <c r="E89" s="233"/>
      <c r="F89" s="233"/>
      <c r="G89" s="233"/>
      <c r="H89" s="233"/>
      <c r="I89" s="233"/>
      <c r="J89" s="140"/>
    </row>
    <row r="90" spans="1:10" x14ac:dyDescent="0.25">
      <c r="A90" s="233"/>
      <c r="B90" s="233"/>
      <c r="C90" s="233"/>
      <c r="D90" s="233"/>
      <c r="E90" s="233"/>
      <c r="F90" s="233"/>
      <c r="G90" s="233"/>
      <c r="H90" s="233"/>
      <c r="I90" s="233"/>
      <c r="J90" s="140"/>
    </row>
  </sheetData>
  <mergeCells count="16">
    <mergeCell ref="A58:B58"/>
    <mergeCell ref="C58:D58"/>
    <mergeCell ref="A67:B67"/>
    <mergeCell ref="C67:D67"/>
    <mergeCell ref="A44:B44"/>
    <mergeCell ref="C44:D44"/>
    <mergeCell ref="A51:B51"/>
    <mergeCell ref="C51:D51"/>
    <mergeCell ref="A4:B4"/>
    <mergeCell ref="C15:D15"/>
    <mergeCell ref="A37:B37"/>
    <mergeCell ref="C37:D37"/>
    <mergeCell ref="A15:B15"/>
    <mergeCell ref="A23:B23"/>
    <mergeCell ref="A30:B30"/>
    <mergeCell ref="C30:D30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A9C2F-26EF-481A-8095-624AB84E4A13}">
  <dimension ref="A2:K68"/>
  <sheetViews>
    <sheetView topLeftCell="A37" zoomScale="80" zoomScaleNormal="80" workbookViewId="0">
      <selection activeCell="A2" sqref="A2"/>
    </sheetView>
  </sheetViews>
  <sheetFormatPr defaultRowHeight="15" x14ac:dyDescent="0.25"/>
  <sheetData>
    <row r="2" spans="1:10" ht="15.75" x14ac:dyDescent="0.25">
      <c r="A2" s="656" t="s">
        <v>756</v>
      </c>
    </row>
    <row r="3" spans="1:10" ht="15.75" x14ac:dyDescent="0.25">
      <c r="A3" s="277"/>
      <c r="B3" s="277"/>
      <c r="C3" s="277"/>
      <c r="D3" s="277"/>
    </row>
    <row r="4" spans="1:10" x14ac:dyDescent="0.25">
      <c r="A4" s="230" t="s">
        <v>757</v>
      </c>
      <c r="B4" s="230"/>
      <c r="C4" s="230"/>
      <c r="D4" s="230"/>
      <c r="E4" s="230"/>
      <c r="F4" s="230"/>
      <c r="G4" s="230"/>
      <c r="H4" s="230"/>
      <c r="I4" s="230"/>
      <c r="J4" s="230"/>
    </row>
    <row r="5" spans="1:10" x14ac:dyDescent="0.25">
      <c r="E5" s="278"/>
    </row>
    <row r="6" spans="1:10" x14ac:dyDescent="0.25">
      <c r="A6" s="280" t="s">
        <v>758</v>
      </c>
      <c r="B6" s="280"/>
      <c r="C6" s="280"/>
      <c r="D6" s="280"/>
      <c r="E6" s="283">
        <f>Plán!E130+Plán!E141</f>
        <v>347974</v>
      </c>
      <c r="F6" s="150"/>
    </row>
    <row r="7" spans="1:10" x14ac:dyDescent="0.25">
      <c r="A7" s="280" t="s">
        <v>760</v>
      </c>
      <c r="B7" s="280"/>
      <c r="C7" s="280"/>
      <c r="D7" s="280"/>
      <c r="E7" s="283">
        <f>Plán!E144</f>
        <v>12770</v>
      </c>
      <c r="F7" s="150"/>
    </row>
    <row r="8" spans="1:10" x14ac:dyDescent="0.25">
      <c r="A8" s="280" t="s">
        <v>186</v>
      </c>
      <c r="B8" s="280"/>
      <c r="C8" s="280"/>
      <c r="D8" s="280"/>
      <c r="E8" s="283">
        <f>Plán!E151</f>
        <v>120882</v>
      </c>
      <c r="F8" s="150"/>
    </row>
    <row r="9" spans="1:10" x14ac:dyDescent="0.25">
      <c r="A9" s="280" t="s">
        <v>761</v>
      </c>
      <c r="B9" s="280"/>
      <c r="C9" s="280"/>
      <c r="D9" s="280"/>
      <c r="E9" s="283">
        <f>Plán!E152</f>
        <v>36494</v>
      </c>
      <c r="F9" s="150"/>
    </row>
    <row r="10" spans="1:10" x14ac:dyDescent="0.25">
      <c r="A10" s="281" t="s">
        <v>762</v>
      </c>
      <c r="B10" s="281"/>
      <c r="C10" s="281"/>
      <c r="D10" s="281"/>
      <c r="E10" s="282">
        <f>SUM(E6:E9)</f>
        <v>518120</v>
      </c>
      <c r="F10" s="150"/>
    </row>
    <row r="12" spans="1:10" x14ac:dyDescent="0.25">
      <c r="A12" s="230" t="s">
        <v>763</v>
      </c>
      <c r="B12" s="230"/>
      <c r="C12" s="230"/>
      <c r="D12" s="230"/>
      <c r="E12" s="230"/>
      <c r="F12" s="230"/>
      <c r="G12" s="230"/>
      <c r="H12" s="230"/>
      <c r="I12" s="230"/>
      <c r="J12" s="230"/>
    </row>
    <row r="14" spans="1:10" x14ac:dyDescent="0.25">
      <c r="A14" s="284" t="s">
        <v>123</v>
      </c>
      <c r="B14" s="284"/>
      <c r="C14" s="284"/>
      <c r="D14" s="284"/>
      <c r="E14" s="13"/>
    </row>
    <row r="15" spans="1:10" x14ac:dyDescent="0.25">
      <c r="A15" s="285" t="s">
        <v>789</v>
      </c>
      <c r="B15" s="285"/>
      <c r="C15" s="285"/>
      <c r="D15" s="285"/>
      <c r="E15" s="283">
        <f>Rozvaha!G70</f>
        <v>150000</v>
      </c>
      <c r="F15" s="150"/>
    </row>
    <row r="16" spans="1:10" x14ac:dyDescent="0.25">
      <c r="A16" s="285" t="s">
        <v>764</v>
      </c>
      <c r="B16" s="285"/>
      <c r="C16" s="285"/>
      <c r="D16" s="285"/>
      <c r="E16" s="283">
        <v>1000</v>
      </c>
      <c r="F16" s="150"/>
    </row>
    <row r="17" spans="1:6" x14ac:dyDescent="0.25">
      <c r="A17" s="285" t="s">
        <v>765</v>
      </c>
      <c r="B17" s="285"/>
      <c r="C17" s="285"/>
      <c r="D17" s="285"/>
      <c r="E17" s="283">
        <v>3559</v>
      </c>
      <c r="F17" s="150"/>
    </row>
    <row r="19" spans="1:6" x14ac:dyDescent="0.25">
      <c r="A19" s="284" t="s">
        <v>760</v>
      </c>
      <c r="B19" s="284"/>
      <c r="C19" s="284"/>
      <c r="D19" s="284"/>
      <c r="E19" s="13"/>
      <c r="F19" s="83"/>
    </row>
    <row r="20" spans="1:6" x14ac:dyDescent="0.25">
      <c r="A20" s="285" t="s">
        <v>766</v>
      </c>
      <c r="B20" s="285"/>
      <c r="C20" s="285"/>
      <c r="D20" s="285"/>
      <c r="E20" s="285">
        <v>5</v>
      </c>
      <c r="F20" s="150"/>
    </row>
    <row r="21" spans="1:6" x14ac:dyDescent="0.25">
      <c r="A21" s="285" t="s">
        <v>791</v>
      </c>
      <c r="B21" s="285"/>
      <c r="C21" s="285"/>
      <c r="D21" s="285"/>
      <c r="E21" s="283">
        <f>E7</f>
        <v>12770</v>
      </c>
      <c r="F21" s="150"/>
    </row>
    <row r="22" spans="1:6" x14ac:dyDescent="0.25">
      <c r="A22" s="285" t="s">
        <v>764</v>
      </c>
      <c r="B22" s="285"/>
      <c r="C22" s="285"/>
      <c r="D22" s="285"/>
      <c r="E22" s="283">
        <f>E16</f>
        <v>1000</v>
      </c>
      <c r="F22" s="150"/>
    </row>
    <row r="23" spans="1:6" x14ac:dyDescent="0.25">
      <c r="A23" s="285" t="s">
        <v>790</v>
      </c>
      <c r="B23" s="285"/>
      <c r="C23" s="285"/>
      <c r="D23" s="285"/>
      <c r="E23" s="283">
        <v>980</v>
      </c>
      <c r="F23" s="150"/>
    </row>
    <row r="24" spans="1:6" x14ac:dyDescent="0.25">
      <c r="A24" s="285" t="s">
        <v>767</v>
      </c>
      <c r="B24" s="285"/>
      <c r="C24" s="285"/>
      <c r="D24" s="285"/>
      <c r="E24" s="286">
        <f>Plán!J3</f>
        <v>0.05</v>
      </c>
      <c r="F24" s="150"/>
    </row>
    <row r="26" spans="1:6" x14ac:dyDescent="0.25">
      <c r="A26" s="287" t="s">
        <v>186</v>
      </c>
      <c r="B26" s="287"/>
      <c r="C26" s="287"/>
      <c r="D26" s="287"/>
      <c r="E26" s="280"/>
      <c r="F26" s="214"/>
    </row>
    <row r="27" spans="1:6" x14ac:dyDescent="0.25">
      <c r="A27" s="285" t="s">
        <v>768</v>
      </c>
      <c r="B27" s="285"/>
      <c r="C27" s="285"/>
      <c r="D27" s="285"/>
      <c r="E27" s="286">
        <f>Plán!J4</f>
        <v>5.5E-2</v>
      </c>
      <c r="F27" s="214"/>
    </row>
    <row r="28" spans="1:6" x14ac:dyDescent="0.25">
      <c r="A28" s="285" t="s">
        <v>792</v>
      </c>
      <c r="B28" s="285"/>
      <c r="C28" s="285"/>
      <c r="D28" s="285"/>
      <c r="E28" s="283">
        <v>8</v>
      </c>
      <c r="F28" s="214"/>
    </row>
    <row r="29" spans="1:6" x14ac:dyDescent="0.25">
      <c r="E29" s="185"/>
    </row>
    <row r="30" spans="1:6" x14ac:dyDescent="0.25">
      <c r="A30" s="287" t="s">
        <v>761</v>
      </c>
      <c r="B30" s="287"/>
      <c r="C30" s="287"/>
      <c r="D30" s="287"/>
      <c r="E30" s="287"/>
    </row>
    <row r="31" spans="1:6" x14ac:dyDescent="0.25">
      <c r="A31" s="285" t="s">
        <v>768</v>
      </c>
      <c r="B31" s="285"/>
      <c r="C31" s="285"/>
      <c r="D31" s="285"/>
      <c r="E31" s="286">
        <f>Plán!J5</f>
        <v>0.04</v>
      </c>
      <c r="F31" s="150"/>
    </row>
    <row r="32" spans="1:6" x14ac:dyDescent="0.25">
      <c r="A32" s="285" t="s">
        <v>769</v>
      </c>
      <c r="B32" s="285"/>
      <c r="C32" s="285"/>
      <c r="D32" s="285"/>
      <c r="E32" s="283">
        <v>1</v>
      </c>
      <c r="F32" s="150"/>
    </row>
    <row r="34" spans="1:11" ht="15.75" x14ac:dyDescent="0.25">
      <c r="A34" s="656" t="s">
        <v>770</v>
      </c>
      <c r="B34" s="277"/>
      <c r="C34" s="277"/>
      <c r="D34" s="277"/>
    </row>
    <row r="36" spans="1:11" x14ac:dyDescent="0.25">
      <c r="A36" s="230" t="s">
        <v>771</v>
      </c>
      <c r="B36" s="230"/>
      <c r="C36" s="230"/>
      <c r="D36" s="230"/>
      <c r="E36" s="230"/>
      <c r="F36" s="230"/>
      <c r="G36" s="230"/>
      <c r="H36" s="230"/>
      <c r="I36" s="230"/>
      <c r="J36" s="230"/>
    </row>
    <row r="37" spans="1:11" x14ac:dyDescent="0.25">
      <c r="A37" s="288"/>
      <c r="B37" s="288"/>
      <c r="C37" s="288"/>
      <c r="D37" s="288"/>
      <c r="E37" s="288"/>
      <c r="F37" s="288"/>
      <c r="G37" s="288"/>
      <c r="H37" s="288"/>
      <c r="I37" s="288"/>
      <c r="J37" s="288"/>
      <c r="K37" s="83"/>
    </row>
    <row r="38" spans="1:11" x14ac:dyDescent="0.25">
      <c r="A38" s="289" t="s">
        <v>772</v>
      </c>
      <c r="B38" s="289"/>
      <c r="C38" s="289"/>
      <c r="D38" s="289"/>
      <c r="E38" s="290" t="s">
        <v>759</v>
      </c>
      <c r="F38" s="290" t="s">
        <v>773</v>
      </c>
    </row>
    <row r="39" spans="1:11" x14ac:dyDescent="0.25">
      <c r="A39" s="292" t="s">
        <v>123</v>
      </c>
      <c r="B39" s="292"/>
      <c r="C39" s="292"/>
      <c r="D39" s="292"/>
      <c r="E39" s="293">
        <f>E15*E17/1000</f>
        <v>533850</v>
      </c>
      <c r="F39" s="294">
        <f t="shared" ref="F39:F44" si="0">E39/$E$44</f>
        <v>0.75858917334029041</v>
      </c>
    </row>
    <row r="40" spans="1:11" x14ac:dyDescent="0.25">
      <c r="A40" s="295" t="s">
        <v>760</v>
      </c>
      <c r="B40" s="295"/>
      <c r="C40" s="295"/>
      <c r="D40" s="295"/>
      <c r="E40" s="296">
        <f>E21*E23/1000</f>
        <v>12514.6</v>
      </c>
      <c r="F40" s="219">
        <f t="shared" si="0"/>
        <v>1.7782972873811743E-2</v>
      </c>
    </row>
    <row r="41" spans="1:11" x14ac:dyDescent="0.25">
      <c r="A41" s="295" t="s">
        <v>186</v>
      </c>
      <c r="B41" s="295"/>
      <c r="C41" s="295"/>
      <c r="D41" s="295"/>
      <c r="E41" s="296">
        <f>E8</f>
        <v>120882</v>
      </c>
      <c r="F41" s="219">
        <f t="shared" si="0"/>
        <v>0.17177067800266177</v>
      </c>
    </row>
    <row r="42" spans="1:11" x14ac:dyDescent="0.25">
      <c r="A42" s="295" t="s">
        <v>761</v>
      </c>
      <c r="B42" s="295"/>
      <c r="C42" s="295"/>
      <c r="D42" s="295"/>
      <c r="E42" s="296">
        <f>E9</f>
        <v>36494</v>
      </c>
      <c r="F42" s="219">
        <f t="shared" si="0"/>
        <v>5.1857175783236044E-2</v>
      </c>
    </row>
    <row r="43" spans="1:11" x14ac:dyDescent="0.25">
      <c r="A43" s="292" t="s">
        <v>774</v>
      </c>
      <c r="B43" s="292"/>
      <c r="C43" s="292"/>
      <c r="D43" s="292"/>
      <c r="E43" s="293">
        <f>SUM(E40:E42)</f>
        <v>169890.6</v>
      </c>
      <c r="F43" s="294">
        <f t="shared" si="0"/>
        <v>0.24141082665970959</v>
      </c>
    </row>
    <row r="44" spans="1:11" x14ac:dyDescent="0.25">
      <c r="A44" s="289" t="s">
        <v>775</v>
      </c>
      <c r="B44" s="289"/>
      <c r="C44" s="289"/>
      <c r="D44" s="289"/>
      <c r="E44" s="297">
        <f>E39+E43</f>
        <v>703740.6</v>
      </c>
      <c r="F44" s="298">
        <f t="shared" si="0"/>
        <v>1</v>
      </c>
    </row>
    <row r="46" spans="1:11" x14ac:dyDescent="0.25">
      <c r="A46" s="230" t="s">
        <v>578</v>
      </c>
      <c r="B46" s="230"/>
      <c r="C46" s="230"/>
      <c r="D46" s="230"/>
      <c r="E46" s="230"/>
      <c r="F46" s="230"/>
      <c r="G46" s="230"/>
      <c r="H46" s="230"/>
      <c r="I46" s="230"/>
      <c r="J46" s="230"/>
    </row>
    <row r="48" spans="1:11" x14ac:dyDescent="0.25">
      <c r="A48" s="299" t="s">
        <v>776</v>
      </c>
      <c r="B48" s="299"/>
      <c r="C48" s="299"/>
      <c r="D48" s="299"/>
      <c r="E48" s="300">
        <f>-E23</f>
        <v>-980</v>
      </c>
      <c r="F48" s="301">
        <f>E24*E22</f>
        <v>50</v>
      </c>
      <c r="G48" s="301">
        <f>F48</f>
        <v>50</v>
      </c>
      <c r="H48" s="301">
        <f>G48</f>
        <v>50</v>
      </c>
      <c r="I48" s="301">
        <f>H48</f>
        <v>50</v>
      </c>
      <c r="J48" s="302">
        <f>I48+E16</f>
        <v>1050</v>
      </c>
    </row>
    <row r="49" spans="1:11" x14ac:dyDescent="0.25">
      <c r="E49" s="279"/>
      <c r="J49" s="185"/>
    </row>
    <row r="50" spans="1:11" ht="26.25" x14ac:dyDescent="0.25">
      <c r="A50" s="303" t="s">
        <v>772</v>
      </c>
      <c r="B50" s="303"/>
      <c r="C50" s="303"/>
      <c r="D50" s="303"/>
      <c r="E50" s="304" t="s">
        <v>777</v>
      </c>
      <c r="F50" s="305" t="s">
        <v>778</v>
      </c>
      <c r="G50" s="304" t="s">
        <v>779</v>
      </c>
      <c r="J50" s="185"/>
    </row>
    <row r="51" spans="1:11" x14ac:dyDescent="0.25">
      <c r="A51" s="306" t="s">
        <v>780</v>
      </c>
      <c r="B51" s="306"/>
      <c r="C51" s="306"/>
      <c r="D51" s="306"/>
      <c r="E51" s="307">
        <f>IRR(E48:J48,0.1)</f>
        <v>5.4679412068096456E-2</v>
      </c>
      <c r="F51" s="308">
        <f>E40</f>
        <v>12514.6</v>
      </c>
      <c r="G51" s="308">
        <f>E51*F51</f>
        <v>684.29097026739987</v>
      </c>
    </row>
    <row r="52" spans="1:11" x14ac:dyDescent="0.25">
      <c r="A52" s="306" t="s">
        <v>186</v>
      </c>
      <c r="B52" s="306"/>
      <c r="C52" s="306"/>
      <c r="D52" s="306"/>
      <c r="E52" s="307">
        <f>E27</f>
        <v>5.5E-2</v>
      </c>
      <c r="F52" s="308">
        <f>E41</f>
        <v>120882</v>
      </c>
      <c r="G52" s="308">
        <f>E52*F52</f>
        <v>6648.51</v>
      </c>
    </row>
    <row r="53" spans="1:11" x14ac:dyDescent="0.25">
      <c r="A53" s="306" t="s">
        <v>761</v>
      </c>
      <c r="B53" s="306"/>
      <c r="C53" s="306"/>
      <c r="D53" s="306"/>
      <c r="E53" s="307">
        <f>E31</f>
        <v>0.04</v>
      </c>
      <c r="F53" s="308">
        <f>E42</f>
        <v>36494</v>
      </c>
      <c r="G53" s="308">
        <f>E53*F53</f>
        <v>1459.76</v>
      </c>
    </row>
    <row r="54" spans="1:11" x14ac:dyDescent="0.25">
      <c r="A54" s="309" t="s">
        <v>736</v>
      </c>
      <c r="B54" s="309"/>
      <c r="C54" s="309"/>
      <c r="D54" s="309"/>
      <c r="E54" s="310"/>
      <c r="F54" s="311">
        <f>SUM(F51:F53)</f>
        <v>169890.6</v>
      </c>
      <c r="G54" s="311">
        <f>SUM(G51:G53)</f>
        <v>8792.5609702673992</v>
      </c>
    </row>
    <row r="55" spans="1:11" x14ac:dyDescent="0.25">
      <c r="A55" s="309" t="s">
        <v>781</v>
      </c>
      <c r="B55" s="309"/>
      <c r="C55" s="309"/>
      <c r="D55" s="309"/>
      <c r="E55" s="309"/>
      <c r="F55" s="311"/>
      <c r="G55" s="312">
        <f>G54/F54</f>
        <v>5.1754252267443866E-2</v>
      </c>
    </row>
    <row r="57" spans="1:11" x14ac:dyDescent="0.25">
      <c r="A57" s="230" t="s">
        <v>782</v>
      </c>
      <c r="B57" s="230"/>
      <c r="C57" s="230"/>
      <c r="D57" s="230"/>
      <c r="E57" s="230"/>
      <c r="F57" s="230"/>
      <c r="G57" s="230"/>
      <c r="H57" s="230"/>
      <c r="I57" s="230"/>
      <c r="J57" s="230"/>
    </row>
    <row r="58" spans="1:11" x14ac:dyDescent="0.25">
      <c r="A58" s="288"/>
      <c r="B58" s="288"/>
      <c r="C58" s="288"/>
      <c r="D58" s="288"/>
      <c r="E58" s="288"/>
      <c r="F58" s="288"/>
      <c r="G58" s="288"/>
      <c r="H58" s="288"/>
      <c r="I58" s="288"/>
      <c r="J58" s="288"/>
    </row>
    <row r="59" spans="1:11" x14ac:dyDescent="0.25">
      <c r="A59" s="280" t="s">
        <v>783</v>
      </c>
      <c r="B59" s="280"/>
      <c r="C59" s="280"/>
      <c r="D59" s="280"/>
      <c r="E59" s="280"/>
      <c r="F59" s="280"/>
      <c r="G59" s="313">
        <f>'[1]19 nVK - CAPM'!B21</f>
        <v>0.11700000000000001</v>
      </c>
      <c r="H59" s="150"/>
    </row>
    <row r="60" spans="1:11" x14ac:dyDescent="0.25">
      <c r="A60" s="280" t="s">
        <v>784</v>
      </c>
      <c r="B60" s="280"/>
      <c r="C60" s="280"/>
      <c r="D60" s="280"/>
      <c r="E60" s="280"/>
      <c r="F60" s="280"/>
      <c r="G60" s="313">
        <f>'[1]20 nVK - Stavebnice'!D84</f>
        <v>0.12219357611224679</v>
      </c>
      <c r="H60" s="150"/>
    </row>
    <row r="62" spans="1:11" x14ac:dyDescent="0.25">
      <c r="A62" s="230" t="s">
        <v>785</v>
      </c>
      <c r="B62" s="230"/>
      <c r="C62" s="230"/>
      <c r="D62" s="230"/>
      <c r="E62" s="230"/>
      <c r="F62" s="230"/>
      <c r="G62" s="230"/>
      <c r="H62" s="230"/>
      <c r="I62" s="230"/>
      <c r="J62" s="230"/>
    </row>
    <row r="63" spans="1:11" x14ac:dyDescent="0.25">
      <c r="A63" s="288"/>
      <c r="B63" s="288"/>
      <c r="C63" s="288"/>
      <c r="D63" s="288"/>
      <c r="E63" s="288"/>
      <c r="F63" s="288"/>
      <c r="G63" s="288"/>
      <c r="H63" s="288"/>
      <c r="I63" s="288"/>
      <c r="J63" s="288"/>
      <c r="K63" s="83"/>
    </row>
    <row r="64" spans="1:11" x14ac:dyDescent="0.25">
      <c r="A64" s="288"/>
      <c r="B64" s="288"/>
      <c r="C64" s="288"/>
      <c r="D64" s="288"/>
      <c r="E64" s="288"/>
      <c r="F64" s="288"/>
      <c r="G64" s="288"/>
      <c r="H64" s="288"/>
      <c r="I64" s="288"/>
      <c r="J64" s="288"/>
      <c r="K64" s="83"/>
    </row>
    <row r="65" spans="1:8" x14ac:dyDescent="0.25">
      <c r="A65" s="314"/>
      <c r="B65" s="314"/>
      <c r="C65" s="314"/>
      <c r="D65" s="314"/>
      <c r="E65" s="290" t="s">
        <v>379</v>
      </c>
      <c r="F65" s="290" t="s">
        <v>786</v>
      </c>
      <c r="G65" s="290" t="s">
        <v>779</v>
      </c>
      <c r="H65" s="150"/>
    </row>
    <row r="66" spans="1:8" x14ac:dyDescent="0.25">
      <c r="A66" s="295" t="s">
        <v>123</v>
      </c>
      <c r="B66" s="295"/>
      <c r="C66" s="295"/>
      <c r="D66" s="295"/>
      <c r="E66" s="315">
        <f>F39</f>
        <v>0.75858917334029041</v>
      </c>
      <c r="F66" s="315">
        <f>G59</f>
        <v>0.11700000000000001</v>
      </c>
      <c r="G66" s="315">
        <f>E66*F66</f>
        <v>8.8754933280813977E-2</v>
      </c>
      <c r="H66" s="150"/>
    </row>
    <row r="67" spans="1:8" x14ac:dyDescent="0.25">
      <c r="A67" s="295" t="s">
        <v>787</v>
      </c>
      <c r="B67" s="295"/>
      <c r="C67" s="295"/>
      <c r="D67" s="295"/>
      <c r="E67" s="315">
        <f>F43</f>
        <v>0.24141082665970959</v>
      </c>
      <c r="F67" s="315">
        <f>G55*(1-'[1]18 Plán'!F7)</f>
        <v>4.1920944336629531E-2</v>
      </c>
      <c r="G67" s="315">
        <f>E67*F67</f>
        <v>1.0120169826661406E-2</v>
      </c>
      <c r="H67" s="150"/>
    </row>
    <row r="68" spans="1:8" x14ac:dyDescent="0.25">
      <c r="A68" s="291" t="s">
        <v>788</v>
      </c>
      <c r="B68" s="291"/>
      <c r="C68" s="291"/>
      <c r="D68" s="291"/>
      <c r="E68" s="316"/>
      <c r="F68" s="316"/>
      <c r="G68" s="316">
        <f>ROUND(SUM(G66:G67),3)</f>
        <v>9.9000000000000005E-2</v>
      </c>
      <c r="H68" s="151"/>
    </row>
  </sheetData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79F8D-4DE3-4E1B-B53A-8C36FB7ACFCB}">
  <dimension ref="A2:AF88"/>
  <sheetViews>
    <sheetView topLeftCell="A61" zoomScale="80" zoomScaleNormal="80" workbookViewId="0">
      <selection activeCell="F53" sqref="F53"/>
    </sheetView>
  </sheetViews>
  <sheetFormatPr defaultRowHeight="15" x14ac:dyDescent="0.25"/>
  <cols>
    <col min="4" max="4" width="15.5703125" customWidth="1"/>
    <col min="5" max="5" width="9.140625" customWidth="1"/>
    <col min="22" max="22" width="11.28515625" customWidth="1"/>
    <col min="23" max="23" width="8.5703125" customWidth="1"/>
  </cols>
  <sheetData>
    <row r="2" spans="1:15" x14ac:dyDescent="0.25">
      <c r="A2" s="324" t="s">
        <v>793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</row>
    <row r="3" spans="1:15" x14ac:dyDescent="0.25">
      <c r="A3" s="320"/>
    </row>
    <row r="4" spans="1:15" x14ac:dyDescent="0.25">
      <c r="E4" s="323">
        <f>Rozvaha!G1</f>
        <v>2016</v>
      </c>
      <c r="F4" s="321">
        <f>E4+1</f>
        <v>2017</v>
      </c>
      <c r="G4" s="322">
        <f>F4+1</f>
        <v>2018</v>
      </c>
      <c r="H4" s="322">
        <f>G4+1</f>
        <v>2019</v>
      </c>
      <c r="I4" s="154">
        <f>H4+1</f>
        <v>2020</v>
      </c>
      <c r="J4" s="322">
        <f>I4+1</f>
        <v>2021</v>
      </c>
    </row>
    <row r="5" spans="1:15" x14ac:dyDescent="0.25">
      <c r="A5" s="280" t="s">
        <v>794</v>
      </c>
      <c r="B5" s="280"/>
      <c r="C5" s="280"/>
      <c r="D5" s="280"/>
      <c r="E5" s="326">
        <f>Generátory!I74</f>
        <v>0.15</v>
      </c>
      <c r="F5" s="112">
        <f>Generátory!J74</f>
        <v>0.11716573821974437</v>
      </c>
      <c r="G5" s="112">
        <f>Generátory!K74</f>
        <v>0.12717250418253587</v>
      </c>
      <c r="H5" s="112">
        <f>Generátory!L74</f>
        <v>0.13038896467057601</v>
      </c>
      <c r="I5" s="112">
        <f>Generátory!M74</f>
        <v>0.13163981041592493</v>
      </c>
      <c r="J5" s="112">
        <f>Generátory!N74</f>
        <v>0.13219574185830224</v>
      </c>
    </row>
    <row r="6" spans="1:15" x14ac:dyDescent="0.25">
      <c r="A6" s="280" t="s">
        <v>495</v>
      </c>
      <c r="B6" s="280"/>
      <c r="C6" s="280"/>
      <c r="D6" s="280"/>
      <c r="E6" s="283">
        <f>Plán!E145</f>
        <v>200754</v>
      </c>
      <c r="F6" s="296">
        <f>Plán!F145</f>
        <v>208575.37419126852</v>
      </c>
      <c r="G6" s="296">
        <f>Plán!G145</f>
        <v>244453.06596582485</v>
      </c>
      <c r="H6" s="296">
        <f>Plán!H145</f>
        <v>276675.15970617568</v>
      </c>
      <c r="I6" s="296">
        <f>Plán!I145</f>
        <v>310001.53054399398</v>
      </c>
      <c r="J6" s="296">
        <f>Plán!J145</f>
        <v>346087.04682065669</v>
      </c>
    </row>
    <row r="7" spans="1:15" x14ac:dyDescent="0.25">
      <c r="A7" s="280" t="s">
        <v>795</v>
      </c>
      <c r="B7" s="280"/>
      <c r="C7" s="280"/>
      <c r="D7" s="280"/>
      <c r="E7" s="283">
        <f>IF(E5*E6&gt;Plán!E100,Plán!F100,E5*E6)</f>
        <v>30113.1</v>
      </c>
      <c r="F7" s="296">
        <f>IF(F5*F6&gt;Plán!F100,Plán!G100,F5*F6)</f>
        <v>21505.441826168986</v>
      </c>
      <c r="G7" s="296">
        <f>IF(G5*G6&gt;Plán!G100,Plán!H100,G5*G6)</f>
        <v>42262.184972496063</v>
      </c>
      <c r="H7" s="296">
        <f>IF(H5*H6&gt;Plán!H100,Plán!I100,H5*H6)</f>
        <v>36075.387624154515</v>
      </c>
      <c r="I7" s="296">
        <f>IF(I5*I6&gt;Plán!I100,Plán!J100,I5*I6)</f>
        <v>40808.542709457928</v>
      </c>
      <c r="J7" s="296">
        <f>IF(J5*J6&gt;Plán!J100,Plán!K100,J5*J6)</f>
        <v>0</v>
      </c>
    </row>
    <row r="8" spans="1:15" x14ac:dyDescent="0.25">
      <c r="A8" s="280" t="s">
        <v>796</v>
      </c>
      <c r="B8" s="280"/>
      <c r="C8" s="280"/>
      <c r="D8" s="280"/>
      <c r="E8" s="283">
        <f>IF(E7&lt;Plán!E100,Plán!E100-E7,0)</f>
        <v>20702.900000000001</v>
      </c>
      <c r="F8" s="296">
        <f>IF(F7&lt;Plán!F100,Plán!F100-F7,0)</f>
        <v>0</v>
      </c>
      <c r="G8" s="296">
        <f>IF(G7&lt;Plán!G100,Plán!G100-G7,0)</f>
        <v>0</v>
      </c>
      <c r="H8" s="296">
        <f>IF(H7&lt;Plán!H100,Plán!H100-H7,0)</f>
        <v>6186.7973483415481</v>
      </c>
      <c r="I8" s="296">
        <f>IF(I7&lt;Plán!I100,Plán!I100-I7,0)</f>
        <v>9272.5921260265095</v>
      </c>
      <c r="J8" s="296">
        <f>IF(J7&lt;Plán!J100,Plán!J100-J7,0)</f>
        <v>38534.258035514082</v>
      </c>
    </row>
    <row r="10" spans="1:15" x14ac:dyDescent="0.25">
      <c r="A10" s="324" t="s">
        <v>797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</row>
    <row r="11" spans="1:15" x14ac:dyDescent="0.25">
      <c r="A11" s="320"/>
    </row>
    <row r="12" spans="1:15" x14ac:dyDescent="0.25">
      <c r="A12" s="320"/>
      <c r="E12" s="323">
        <f>Rozvaha!G1</f>
        <v>2016</v>
      </c>
      <c r="F12" s="321">
        <f>E12+1</f>
        <v>2017</v>
      </c>
      <c r="G12" s="322">
        <f>F12+1</f>
        <v>2018</v>
      </c>
      <c r="H12" s="322">
        <f>G12+1</f>
        <v>2019</v>
      </c>
      <c r="I12" s="154">
        <f>H12+1</f>
        <v>2020</v>
      </c>
      <c r="J12" s="322">
        <f>I12+1</f>
        <v>2021</v>
      </c>
    </row>
    <row r="13" spans="1:15" x14ac:dyDescent="0.25">
      <c r="A13" s="280" t="s">
        <v>2</v>
      </c>
      <c r="B13" s="280"/>
      <c r="C13" s="280"/>
      <c r="D13" s="280"/>
      <c r="E13" s="283">
        <f>Generátory!E184</f>
        <v>452188</v>
      </c>
      <c r="F13" s="296">
        <f>Generátory!F184</f>
        <v>490768.6</v>
      </c>
      <c r="G13" s="296">
        <f>Generátory!G184</f>
        <v>522912.43333333335</v>
      </c>
      <c r="H13" s="296">
        <f>Generátory!H184</f>
        <v>551457.72666666668</v>
      </c>
      <c r="I13" s="296">
        <f>Generátory!I184</f>
        <v>594472.19999999995</v>
      </c>
      <c r="J13" s="296">
        <f>Generátory!J184</f>
        <v>665449.93666666665</v>
      </c>
    </row>
    <row r="14" spans="1:15" x14ac:dyDescent="0.25">
      <c r="A14" s="280" t="s">
        <v>486</v>
      </c>
      <c r="B14" s="280"/>
      <c r="C14" s="280"/>
      <c r="D14" s="280"/>
      <c r="E14" s="283">
        <f>Generátory!I84</f>
        <v>36723.100000000006</v>
      </c>
      <c r="F14" s="296">
        <f>Generátory!J84</f>
        <v>68772.018403088412</v>
      </c>
      <c r="G14" s="296">
        <f>Generátory!K84</f>
        <v>66952.759229893622</v>
      </c>
      <c r="H14" s="296">
        <f>Generátory!L84</f>
        <v>70970.854162590113</v>
      </c>
      <c r="I14" s="296">
        <f>Generátory!M84</f>
        <v>77341.688897116168</v>
      </c>
      <c r="J14" s="296">
        <f>Generátory!N84</f>
        <v>85160.485979455407</v>
      </c>
    </row>
    <row r="15" spans="1:15" x14ac:dyDescent="0.25">
      <c r="A15" s="325" t="s">
        <v>798</v>
      </c>
      <c r="B15" s="325"/>
      <c r="C15" s="325"/>
      <c r="D15" s="325"/>
      <c r="E15" s="327">
        <f>E13+E14</f>
        <v>488911.1</v>
      </c>
      <c r="F15" s="335">
        <f t="shared" ref="F15:J15" si="0">F13+F14</f>
        <v>559540.61840308842</v>
      </c>
      <c r="G15" s="335">
        <f t="shared" si="0"/>
        <v>589865.19256322691</v>
      </c>
      <c r="H15" s="335">
        <f t="shared" si="0"/>
        <v>622428.5808292568</v>
      </c>
      <c r="I15" s="335">
        <f t="shared" si="0"/>
        <v>671813.88889711606</v>
      </c>
      <c r="J15" s="335">
        <f t="shared" si="0"/>
        <v>750610.42264612205</v>
      </c>
    </row>
    <row r="16" spans="1:15" x14ac:dyDescent="0.25">
      <c r="A16" s="141"/>
    </row>
    <row r="17" spans="1:32" x14ac:dyDescent="0.25">
      <c r="A17" s="216" t="s">
        <v>799</v>
      </c>
      <c r="B17" s="216"/>
      <c r="C17" s="216"/>
      <c r="D17" s="216"/>
      <c r="E17" s="283">
        <f>Plán!E51</f>
        <v>58289.22</v>
      </c>
      <c r="F17" s="296">
        <f>Plán!F51</f>
        <v>57547.901696726665</v>
      </c>
      <c r="G17" s="296">
        <f>Plán!G51</f>
        <v>62473.177000794298</v>
      </c>
      <c r="H17" s="296">
        <f>Plán!H51</f>
        <v>77119.54197631283</v>
      </c>
      <c r="I17" s="296">
        <f>Plán!I51</f>
        <v>90700.432402672624</v>
      </c>
      <c r="J17" s="296">
        <f>Plán!J51</f>
        <v>106854.59974844813</v>
      </c>
    </row>
    <row r="19" spans="1:32" x14ac:dyDescent="0.25">
      <c r="A19" s="324" t="s">
        <v>800</v>
      </c>
      <c r="B19" s="324"/>
      <c r="C19" s="324"/>
      <c r="D19" s="324"/>
      <c r="E19" s="324"/>
      <c r="F19" s="324"/>
      <c r="G19" s="324"/>
      <c r="H19" s="324"/>
      <c r="I19" s="324"/>
      <c r="J19" s="324"/>
      <c r="K19" s="324"/>
      <c r="L19" s="324"/>
      <c r="M19" s="324"/>
      <c r="N19" s="324"/>
      <c r="O19" s="324"/>
    </row>
    <row r="20" spans="1:32" s="83" customFormat="1" x14ac:dyDescent="0.25">
      <c r="A20" s="328"/>
      <c r="B20" s="328"/>
      <c r="C20" s="328"/>
      <c r="D20" s="328"/>
      <c r="E20" s="328"/>
      <c r="F20" s="328"/>
      <c r="G20" s="328"/>
      <c r="H20" s="328"/>
      <c r="I20" s="328"/>
      <c r="J20" s="328"/>
      <c r="K20" s="328"/>
      <c r="L20" s="328"/>
      <c r="M20" s="328"/>
      <c r="N20" s="328"/>
      <c r="O20" s="328"/>
    </row>
    <row r="21" spans="1:32" s="83" customFormat="1" x14ac:dyDescent="0.25">
      <c r="A21" s="328"/>
      <c r="B21" s="328"/>
      <c r="C21" s="328"/>
      <c r="D21" s="328"/>
      <c r="E21" s="323">
        <f>Rozvaha!G1</f>
        <v>2016</v>
      </c>
      <c r="F21" s="321">
        <f>E21+1</f>
        <v>2017</v>
      </c>
      <c r="G21" s="322">
        <f>F21+1</f>
        <v>2018</v>
      </c>
      <c r="H21" s="322">
        <f>G21+1</f>
        <v>2019</v>
      </c>
      <c r="I21" s="154">
        <f>H21+1</f>
        <v>2020</v>
      </c>
      <c r="J21" s="322">
        <f>I21+1</f>
        <v>2021</v>
      </c>
      <c r="K21" s="328"/>
      <c r="L21" s="328"/>
      <c r="M21" s="328"/>
      <c r="N21" s="328"/>
      <c r="O21" s="328"/>
    </row>
    <row r="22" spans="1:32" x14ac:dyDescent="0.25">
      <c r="A22" s="280" t="s">
        <v>801</v>
      </c>
      <c r="B22" s="280"/>
      <c r="C22" s="280"/>
      <c r="D22" s="280"/>
      <c r="E22" s="218">
        <f>E17/Generátory!H194-1</f>
        <v>0.15200025613523938</v>
      </c>
      <c r="F22" s="219">
        <f>F17/E17-1</f>
        <v>-1.2717931433519514E-2</v>
      </c>
      <c r="G22" s="219">
        <f t="shared" ref="G22:J22" si="1">G17/F17-1</f>
        <v>8.5585662706235244E-2</v>
      </c>
      <c r="H22" s="219">
        <f t="shared" si="1"/>
        <v>0.23444245480476078</v>
      </c>
      <c r="I22" s="219">
        <f t="shared" si="1"/>
        <v>0.17610180349010829</v>
      </c>
      <c r="J22" s="219">
        <f t="shared" si="1"/>
        <v>0.17810463432034873</v>
      </c>
      <c r="K22" s="329">
        <f>Generátory!F196</f>
        <v>8.0901388672818042E-2</v>
      </c>
      <c r="L22" s="329">
        <f>(J17/E17)^(1/5)-1</f>
        <v>0.1288623681733192</v>
      </c>
      <c r="M22" s="329">
        <f>(Generátory!N194/Generátory!E194)^(1/9)-1</f>
        <v>0.1071026243858153</v>
      </c>
    </row>
    <row r="23" spans="1:32" x14ac:dyDescent="0.25">
      <c r="A23" s="280" t="s">
        <v>802</v>
      </c>
      <c r="B23" s="280"/>
      <c r="C23" s="280"/>
      <c r="D23" s="280"/>
      <c r="E23" s="218">
        <f>(E15-Generátory!H201)/E17</f>
        <v>0.86994816537260189</v>
      </c>
      <c r="F23" s="219">
        <f>(F15-E15)/F17</f>
        <v>1.2273170058449909</v>
      </c>
      <c r="G23" s="219">
        <f t="shared" ref="G23:J23" si="2">(G15-F15)/G17</f>
        <v>0.48540150534929483</v>
      </c>
      <c r="H23" s="219">
        <f t="shared" si="2"/>
        <v>0.42224561286984419</v>
      </c>
      <c r="I23" s="219">
        <f t="shared" si="2"/>
        <v>0.54448812160683868</v>
      </c>
      <c r="J23" s="219">
        <f t="shared" si="2"/>
        <v>0.73741826682711775</v>
      </c>
      <c r="K23" s="329">
        <f>(Generátory!I201-Generátory!E201)/SUM(Generátory!F194:I194)</f>
        <v>0.51222231983530309</v>
      </c>
      <c r="L23" s="329">
        <f>(J15-E15)/SUM(F17:J17)</f>
        <v>0.66304080314303426</v>
      </c>
      <c r="M23" s="329">
        <f>(Generátory!N201-Generátory!E201)/SUM(Generátory!F194:N194)</f>
        <v>0.61458809449339113</v>
      </c>
    </row>
    <row r="24" spans="1:32" x14ac:dyDescent="0.25">
      <c r="A24" s="280" t="s">
        <v>593</v>
      </c>
      <c r="B24" s="280"/>
      <c r="C24" s="280"/>
      <c r="D24" s="280"/>
      <c r="E24" s="218">
        <f>E17/Generátory!H201</f>
        <v>0.13301891248908895</v>
      </c>
      <c r="F24" s="219">
        <f>F17/E15</f>
        <v>0.11770626949710626</v>
      </c>
      <c r="G24" s="219">
        <f t="shared" ref="G24:J24" si="3">G17/F15</f>
        <v>0.1116508345347489</v>
      </c>
      <c r="H24" s="219">
        <f t="shared" si="3"/>
        <v>0.13074096072899993</v>
      </c>
      <c r="I24" s="219">
        <f t="shared" si="3"/>
        <v>0.14572022428956127</v>
      </c>
      <c r="J24" s="219">
        <f t="shared" si="3"/>
        <v>0.15905387119022812</v>
      </c>
      <c r="K24" s="330" t="s">
        <v>594</v>
      </c>
      <c r="L24" s="331" t="s">
        <v>594</v>
      </c>
      <c r="M24" s="331" t="s">
        <v>594</v>
      </c>
    </row>
    <row r="25" spans="1:32" s="83" customFormat="1" x14ac:dyDescent="0.25">
      <c r="A25" s="214"/>
      <c r="B25" s="214"/>
      <c r="C25" s="214"/>
      <c r="D25" s="214"/>
      <c r="E25" s="217"/>
      <c r="F25" s="217"/>
      <c r="G25" s="217"/>
      <c r="H25" s="217"/>
      <c r="I25" s="217"/>
      <c r="J25" s="217"/>
      <c r="K25" s="436"/>
      <c r="L25" s="579"/>
      <c r="M25" s="579"/>
    </row>
    <row r="26" spans="1:32" x14ac:dyDescent="0.25">
      <c r="A26" s="510" t="s">
        <v>1164</v>
      </c>
      <c r="R26" s="178" t="s">
        <v>1165</v>
      </c>
    </row>
    <row r="27" spans="1:32" x14ac:dyDescent="0.25">
      <c r="A27" s="324" t="s">
        <v>803</v>
      </c>
      <c r="B27" s="324"/>
      <c r="C27" s="324"/>
      <c r="D27" s="324"/>
      <c r="E27" s="324"/>
      <c r="F27" s="324"/>
      <c r="G27" s="324"/>
      <c r="H27" s="324"/>
      <c r="I27" s="324"/>
      <c r="J27" s="324"/>
      <c r="K27" s="324"/>
      <c r="L27" s="324"/>
      <c r="M27" s="324"/>
      <c r="N27" s="324"/>
      <c r="O27" s="324"/>
      <c r="R27" s="324" t="s">
        <v>803</v>
      </c>
      <c r="S27" s="324"/>
      <c r="T27" s="324"/>
      <c r="U27" s="324"/>
      <c r="V27" s="324"/>
      <c r="W27" s="324"/>
      <c r="X27" s="324"/>
      <c r="Y27" s="324"/>
      <c r="Z27" s="324"/>
      <c r="AA27" s="324"/>
      <c r="AB27" s="324"/>
      <c r="AC27" s="324"/>
      <c r="AD27" s="324"/>
      <c r="AE27" s="324"/>
      <c r="AF27" s="324"/>
    </row>
    <row r="29" spans="1:32" x14ac:dyDescent="0.25">
      <c r="E29" s="334"/>
      <c r="F29" s="321">
        <f>F21</f>
        <v>2017</v>
      </c>
      <c r="G29" s="322">
        <f>F29+1</f>
        <v>2018</v>
      </c>
      <c r="H29" s="322">
        <f>G29+1</f>
        <v>2019</v>
      </c>
      <c r="I29" s="154">
        <f>H29+1</f>
        <v>2020</v>
      </c>
      <c r="J29" s="322">
        <f>I29+1</f>
        <v>2021</v>
      </c>
      <c r="V29" s="334"/>
      <c r="W29" s="321">
        <f>F29</f>
        <v>2017</v>
      </c>
      <c r="X29" s="322">
        <f>W29+1</f>
        <v>2018</v>
      </c>
      <c r="Y29" s="322">
        <f>X29+1</f>
        <v>2019</v>
      </c>
      <c r="Z29" s="154">
        <f>Y29+1</f>
        <v>2020</v>
      </c>
      <c r="AA29" s="322">
        <f>Z29+1</f>
        <v>2021</v>
      </c>
    </row>
    <row r="30" spans="1:32" x14ac:dyDescent="0.25">
      <c r="A30" s="325" t="s">
        <v>516</v>
      </c>
      <c r="B30" s="280"/>
      <c r="C30" s="280"/>
      <c r="D30" s="280"/>
      <c r="E30" s="13"/>
      <c r="F30" s="296">
        <f>Plán!F19</f>
        <v>71046.792218181072</v>
      </c>
      <c r="G30" s="296">
        <f>Plán!G19</f>
        <v>77127.379013326296</v>
      </c>
      <c r="H30" s="296">
        <f>Plán!H19</f>
        <v>95209.311081867694</v>
      </c>
      <c r="I30" s="296">
        <f>Plán!I19</f>
        <v>111975.84247243534</v>
      </c>
      <c r="J30" s="296">
        <f>Plán!J19</f>
        <v>131919.2589487014</v>
      </c>
      <c r="R30" s="325" t="s">
        <v>516</v>
      </c>
      <c r="S30" s="280"/>
      <c r="T30" s="280"/>
      <c r="U30" s="280"/>
      <c r="V30" s="13"/>
      <c r="W30" s="296">
        <f>F30</f>
        <v>71046.792218181072</v>
      </c>
      <c r="X30" s="296">
        <f t="shared" ref="X30:AA31" si="4">G30</f>
        <v>77127.379013326296</v>
      </c>
      <c r="Y30" s="296">
        <f t="shared" si="4"/>
        <v>95209.311081867694</v>
      </c>
      <c r="Z30" s="296">
        <f t="shared" si="4"/>
        <v>111975.84247243534</v>
      </c>
      <c r="AA30" s="296">
        <f t="shared" si="4"/>
        <v>131919.2589487014</v>
      </c>
    </row>
    <row r="31" spans="1:32" x14ac:dyDescent="0.25">
      <c r="A31" s="280" t="s">
        <v>804</v>
      </c>
      <c r="B31" s="280"/>
      <c r="C31" s="280"/>
      <c r="D31" s="280"/>
      <c r="E31" s="13"/>
      <c r="F31" s="296">
        <f>F30*Plán!F7</f>
        <v>13498.890521454403</v>
      </c>
      <c r="G31" s="296">
        <f>G30*Plán!G7</f>
        <v>14654.202012531996</v>
      </c>
      <c r="H31" s="296">
        <f>H30*Plán!H7</f>
        <v>18089.76910555486</v>
      </c>
      <c r="I31" s="296">
        <f>I30*Plán!I7</f>
        <v>21275.410069762715</v>
      </c>
      <c r="J31" s="296">
        <f>J30*Plán!J7</f>
        <v>25064.659200253267</v>
      </c>
      <c r="R31" s="280" t="s">
        <v>804</v>
      </c>
      <c r="S31" s="280"/>
      <c r="T31" s="280"/>
      <c r="U31" s="280"/>
      <c r="V31" s="13"/>
      <c r="W31" s="296">
        <f>F31</f>
        <v>13498.890521454403</v>
      </c>
      <c r="X31" s="296">
        <f t="shared" si="4"/>
        <v>14654.202012531996</v>
      </c>
      <c r="Y31" s="296">
        <f t="shared" si="4"/>
        <v>18089.76910555486</v>
      </c>
      <c r="Z31" s="296">
        <f t="shared" si="4"/>
        <v>21275.410069762715</v>
      </c>
      <c r="AA31" s="296">
        <f t="shared" si="4"/>
        <v>25064.659200253267</v>
      </c>
    </row>
    <row r="32" spans="1:32" x14ac:dyDescent="0.25">
      <c r="A32" s="325" t="s">
        <v>805</v>
      </c>
      <c r="B32" s="280"/>
      <c r="C32" s="280"/>
      <c r="D32" s="280"/>
      <c r="E32" s="13"/>
      <c r="F32" s="336">
        <f>F30-F31</f>
        <v>57547.901696726665</v>
      </c>
      <c r="G32" s="336">
        <f t="shared" ref="G32:J32" si="5">G30-G31</f>
        <v>62473.177000794298</v>
      </c>
      <c r="H32" s="336">
        <f t="shared" si="5"/>
        <v>77119.54197631283</v>
      </c>
      <c r="I32" s="336">
        <f t="shared" si="5"/>
        <v>90700.432402672624</v>
      </c>
      <c r="J32" s="336">
        <f t="shared" si="5"/>
        <v>106854.59974844813</v>
      </c>
      <c r="R32" s="280" t="s">
        <v>273</v>
      </c>
      <c r="S32" s="280"/>
      <c r="T32" s="280"/>
      <c r="U32" s="280"/>
      <c r="V32" s="13"/>
      <c r="W32" s="296">
        <f>VZZ!C46</f>
        <v>23068</v>
      </c>
      <c r="X32" s="296">
        <f>VZZ!D46</f>
        <v>23562</v>
      </c>
      <c r="Y32" s="296">
        <f>VZZ!E46</f>
        <v>21468</v>
      </c>
      <c r="Z32" s="296">
        <f>VZZ!F46</f>
        <v>15658</v>
      </c>
      <c r="AA32" s="296">
        <f>VZZ!G46</f>
        <v>10536</v>
      </c>
    </row>
    <row r="33" spans="1:32" x14ac:dyDescent="0.25">
      <c r="A33" s="280" t="s">
        <v>484</v>
      </c>
      <c r="B33" s="280"/>
      <c r="C33" s="280"/>
      <c r="D33" s="280"/>
      <c r="E33" s="13"/>
      <c r="F33" s="296">
        <f>Plán!F16</f>
        <v>45372</v>
      </c>
      <c r="G33" s="296">
        <f>Plán!G16</f>
        <v>56182.766666666663</v>
      </c>
      <c r="H33" s="296">
        <f>Plán!H16</f>
        <v>55880.306666666671</v>
      </c>
      <c r="I33" s="296">
        <f>Plán!I16</f>
        <v>57346.126666666671</v>
      </c>
      <c r="J33" s="296">
        <f>Plán!J16</f>
        <v>57111.863333333335</v>
      </c>
      <c r="R33" s="325" t="s">
        <v>1166</v>
      </c>
      <c r="S33" s="280"/>
      <c r="T33" s="280"/>
      <c r="U33" s="280"/>
      <c r="V33" s="13"/>
      <c r="W33" s="336">
        <f>W30-W31-W32</f>
        <v>34479.901696726665</v>
      </c>
      <c r="X33" s="336">
        <f t="shared" ref="X33:AA33" si="6">X30-X31-X32</f>
        <v>38911.177000794298</v>
      </c>
      <c r="Y33" s="336">
        <f t="shared" si="6"/>
        <v>55651.54197631283</v>
      </c>
      <c r="Z33" s="336">
        <f t="shared" si="6"/>
        <v>75042.432402672624</v>
      </c>
      <c r="AA33" s="336">
        <f t="shared" si="6"/>
        <v>96318.599748448134</v>
      </c>
    </row>
    <row r="34" spans="1:32" x14ac:dyDescent="0.25">
      <c r="A34" s="280" t="s">
        <v>806</v>
      </c>
      <c r="B34" s="280"/>
      <c r="C34" s="280"/>
      <c r="D34" s="280"/>
      <c r="E34" s="13"/>
      <c r="F34" s="296">
        <f>Plán!F141-Plán!E141</f>
        <v>1094</v>
      </c>
      <c r="G34" s="296">
        <f>Plán!G141-Plán!F141</f>
        <v>2659.1961129572937</v>
      </c>
      <c r="H34" s="296">
        <f>Plán!H141-Plán!G141</f>
        <v>2195.8570264661685</v>
      </c>
      <c r="I34" s="296">
        <f>Plán!I141-Plán!H141</f>
        <v>2167.5522937330661</v>
      </c>
      <c r="J34" s="296">
        <f>Plán!J141-Plán!I141</f>
        <v>2292.5811119559512</v>
      </c>
      <c r="R34" s="280" t="s">
        <v>484</v>
      </c>
      <c r="S34" s="280"/>
      <c r="T34" s="280"/>
      <c r="U34" s="280"/>
      <c r="V34" s="13"/>
      <c r="W34" s="296">
        <f t="shared" ref="W34:AA37" si="7">F33</f>
        <v>45372</v>
      </c>
      <c r="X34" s="296">
        <f t="shared" si="7"/>
        <v>56182.766666666663</v>
      </c>
      <c r="Y34" s="296">
        <f t="shared" si="7"/>
        <v>55880.306666666671</v>
      </c>
      <c r="Z34" s="296">
        <f t="shared" si="7"/>
        <v>57346.126666666671</v>
      </c>
      <c r="AA34" s="296">
        <f t="shared" si="7"/>
        <v>57111.863333333335</v>
      </c>
    </row>
    <row r="35" spans="1:32" x14ac:dyDescent="0.25">
      <c r="A35" s="280" t="s">
        <v>807</v>
      </c>
      <c r="B35" s="280"/>
      <c r="C35" s="280"/>
      <c r="D35" s="280"/>
      <c r="E35" s="13"/>
      <c r="F35" s="296">
        <f>-(F13-E13+F33)</f>
        <v>-83952.599999999977</v>
      </c>
      <c r="G35" s="296">
        <f t="shared" ref="G35:J35" si="8">-(G13-F13+G33)</f>
        <v>-88326.600000000035</v>
      </c>
      <c r="H35" s="296">
        <f t="shared" si="8"/>
        <v>-84425.600000000006</v>
      </c>
      <c r="I35" s="296">
        <f t="shared" si="8"/>
        <v>-100360.59999999995</v>
      </c>
      <c r="J35" s="296">
        <f t="shared" si="8"/>
        <v>-128089.60000000003</v>
      </c>
      <c r="R35" s="280" t="s">
        <v>806</v>
      </c>
      <c r="S35" s="280"/>
      <c r="T35" s="280"/>
      <c r="U35" s="280"/>
      <c r="V35" s="13"/>
      <c r="W35" s="296">
        <f t="shared" si="7"/>
        <v>1094</v>
      </c>
      <c r="X35" s="296">
        <f t="shared" si="7"/>
        <v>2659.1961129572937</v>
      </c>
      <c r="Y35" s="296">
        <f t="shared" si="7"/>
        <v>2195.8570264661685</v>
      </c>
      <c r="Z35" s="296">
        <f t="shared" si="7"/>
        <v>2167.5522937330661</v>
      </c>
      <c r="AA35" s="296">
        <f t="shared" si="7"/>
        <v>2292.5811119559512</v>
      </c>
    </row>
    <row r="36" spans="1:32" x14ac:dyDescent="0.25">
      <c r="A36" s="280" t="s">
        <v>808</v>
      </c>
      <c r="B36" s="280"/>
      <c r="C36" s="280"/>
      <c r="D36" s="280"/>
      <c r="E36" s="13"/>
      <c r="F36" s="296">
        <f>-(F14-E14)</f>
        <v>-32048.918403088406</v>
      </c>
      <c r="G36" s="296">
        <f t="shared" ref="G36:J36" si="9">-(G14-F14)</f>
        <v>1819.2591731947905</v>
      </c>
      <c r="H36" s="296">
        <f t="shared" si="9"/>
        <v>-4018.094932696491</v>
      </c>
      <c r="I36" s="296">
        <f t="shared" si="9"/>
        <v>-6370.8347345260554</v>
      </c>
      <c r="J36" s="296">
        <f t="shared" si="9"/>
        <v>-7818.7970823392388</v>
      </c>
      <c r="R36" s="280" t="s">
        <v>807</v>
      </c>
      <c r="S36" s="280"/>
      <c r="T36" s="280"/>
      <c r="U36" s="280"/>
      <c r="V36" s="13"/>
      <c r="W36" s="296">
        <f t="shared" si="7"/>
        <v>-83952.599999999977</v>
      </c>
      <c r="X36" s="296">
        <f t="shared" si="7"/>
        <v>-88326.600000000035</v>
      </c>
      <c r="Y36" s="296">
        <f t="shared" si="7"/>
        <v>-84425.600000000006</v>
      </c>
      <c r="Z36" s="296">
        <f t="shared" si="7"/>
        <v>-100360.59999999995</v>
      </c>
      <c r="AA36" s="296">
        <f t="shared" si="7"/>
        <v>-128089.60000000003</v>
      </c>
    </row>
    <row r="37" spans="1:32" x14ac:dyDescent="0.25">
      <c r="A37" s="216" t="s">
        <v>809</v>
      </c>
      <c r="B37" s="216"/>
      <c r="C37" s="216"/>
      <c r="D37" s="216"/>
      <c r="E37" s="534"/>
      <c r="F37" s="535">
        <f>SUM(F32:F36)</f>
        <v>-11987.616706361718</v>
      </c>
      <c r="G37" s="535">
        <f>SUM(G32:G36)</f>
        <v>34807.798953613004</v>
      </c>
      <c r="H37" s="535">
        <f>SUM(H32:H36)</f>
        <v>46752.010736749187</v>
      </c>
      <c r="I37" s="535">
        <f>SUM(I32:I36)</f>
        <v>43482.676628546353</v>
      </c>
      <c r="J37" s="535">
        <f>SUM(J32:J36)</f>
        <v>30350.647111398139</v>
      </c>
      <c r="R37" s="280" t="s">
        <v>808</v>
      </c>
      <c r="S37" s="280"/>
      <c r="T37" s="280"/>
      <c r="U37" s="280"/>
      <c r="V37" s="13"/>
      <c r="W37" s="296">
        <f t="shared" si="7"/>
        <v>-32048.918403088406</v>
      </c>
      <c r="X37" s="296">
        <f t="shared" si="7"/>
        <v>1819.2591731947905</v>
      </c>
      <c r="Y37" s="296">
        <f t="shared" si="7"/>
        <v>-4018.094932696491</v>
      </c>
      <c r="Z37" s="296">
        <f t="shared" si="7"/>
        <v>-6370.8347345260554</v>
      </c>
      <c r="AA37" s="296">
        <f t="shared" si="7"/>
        <v>-7818.7970823392388</v>
      </c>
    </row>
    <row r="38" spans="1:32" x14ac:dyDescent="0.25">
      <c r="A38" s="280"/>
      <c r="B38" s="280"/>
      <c r="C38" s="280"/>
      <c r="D38" s="280"/>
      <c r="E38" s="13"/>
      <c r="F38" s="296"/>
      <c r="G38" s="296"/>
      <c r="H38" s="296"/>
      <c r="I38" s="296"/>
      <c r="J38" s="296"/>
      <c r="R38" s="280" t="s">
        <v>1168</v>
      </c>
      <c r="S38" s="280"/>
      <c r="T38" s="280"/>
      <c r="U38" s="280"/>
      <c r="V38" s="13"/>
      <c r="W38" s="296">
        <v>0</v>
      </c>
      <c r="X38" s="296">
        <v>0</v>
      </c>
      <c r="Y38" s="296">
        <v>0</v>
      </c>
      <c r="Z38" s="296">
        <v>0</v>
      </c>
      <c r="AA38" s="296">
        <v>0</v>
      </c>
    </row>
    <row r="39" spans="1:32" x14ac:dyDescent="0.25">
      <c r="A39" s="280" t="s">
        <v>810</v>
      </c>
      <c r="B39" s="280"/>
      <c r="C39" s="280"/>
      <c r="D39" s="280"/>
      <c r="E39" s="339">
        <f>WACC!G68</f>
        <v>9.9000000000000005E-2</v>
      </c>
      <c r="F39" s="338">
        <f>1/(1+$E$39)^(F4-$E$4)</f>
        <v>0.90991810737033674</v>
      </c>
      <c r="G39" s="338">
        <f t="shared" ref="G39:J39" si="10">1/(1+$E$39)^(G4-$E$4)</f>
        <v>0.82795096212041563</v>
      </c>
      <c r="H39" s="338">
        <f t="shared" si="10"/>
        <v>0.75336757244805796</v>
      </c>
      <c r="I39" s="338">
        <f t="shared" si="10"/>
        <v>0.68550279567612182</v>
      </c>
      <c r="J39" s="338">
        <f t="shared" si="10"/>
        <v>0.62375140643869142</v>
      </c>
      <c r="R39" s="280" t="s">
        <v>1169</v>
      </c>
      <c r="S39" s="280"/>
      <c r="T39" s="280"/>
      <c r="U39" s="280"/>
      <c r="V39" s="13"/>
      <c r="W39" s="296">
        <f>Plán!F150-Plán!E150</f>
        <v>0</v>
      </c>
      <c r="X39" s="296">
        <f>Plán!G150-Plán!F150</f>
        <v>0</v>
      </c>
      <c r="Y39" s="296">
        <f>Plán!H150-Plán!G150</f>
        <v>0</v>
      </c>
      <c r="Z39" s="296">
        <f>Plán!I150-Plán!H150</f>
        <v>0</v>
      </c>
      <c r="AA39" s="296">
        <f>Plán!J150-Plán!I150</f>
        <v>0</v>
      </c>
    </row>
    <row r="40" spans="1:32" x14ac:dyDescent="0.25">
      <c r="A40" s="280"/>
      <c r="B40" s="280"/>
      <c r="C40" s="280"/>
      <c r="D40" s="280"/>
      <c r="E40" s="13"/>
      <c r="F40" s="296"/>
      <c r="G40" s="296"/>
      <c r="H40" s="296"/>
      <c r="I40" s="296"/>
      <c r="J40" s="296"/>
      <c r="R40" s="216" t="s">
        <v>1167</v>
      </c>
      <c r="S40" s="216"/>
      <c r="T40" s="216"/>
      <c r="U40" s="216"/>
      <c r="V40" s="534"/>
      <c r="W40" s="535">
        <f>SUM(W33:W39)</f>
        <v>-35055.616706361718</v>
      </c>
      <c r="X40" s="535">
        <f t="shared" ref="X40:AA40" si="11">SUM(X33:X39)</f>
        <v>11245.798953613004</v>
      </c>
      <c r="Y40" s="535">
        <f t="shared" si="11"/>
        <v>25284.010736749173</v>
      </c>
      <c r="Z40" s="535">
        <f t="shared" si="11"/>
        <v>27824.676628546353</v>
      </c>
      <c r="AA40" s="535">
        <f t="shared" si="11"/>
        <v>19814.647111398139</v>
      </c>
    </row>
    <row r="41" spans="1:32" x14ac:dyDescent="0.25">
      <c r="A41" s="325" t="s">
        <v>811</v>
      </c>
      <c r="B41" s="325"/>
      <c r="C41" s="325"/>
      <c r="D41" s="325"/>
      <c r="E41" s="16"/>
      <c r="F41" s="335">
        <f>F37*F39</f>
        <v>-10907.749505333684</v>
      </c>
      <c r="G41" s="335">
        <f>G37*G39</f>
        <v>28819.150632937883</v>
      </c>
      <c r="H41" s="335">
        <f>H37*H39</f>
        <v>35221.448835810275</v>
      </c>
      <c r="I41" s="335">
        <f>I37*I39</f>
        <v>29807.496392349287</v>
      </c>
      <c r="J41" s="335">
        <f>J37*J39</f>
        <v>18931.258822058997</v>
      </c>
      <c r="R41" s="280"/>
      <c r="S41" s="280"/>
      <c r="T41" s="280"/>
      <c r="U41" s="280"/>
      <c r="V41" s="13"/>
      <c r="W41" s="296"/>
      <c r="X41" s="296"/>
      <c r="Y41" s="296"/>
      <c r="Z41" s="296"/>
      <c r="AA41" s="296"/>
    </row>
    <row r="42" spans="1:32" x14ac:dyDescent="0.25">
      <c r="R42" s="280" t="s">
        <v>810</v>
      </c>
      <c r="S42" s="280"/>
      <c r="T42" s="280"/>
      <c r="U42" s="280"/>
      <c r="V42" s="339">
        <v>9.9000000000000005E-2</v>
      </c>
      <c r="W42" s="338">
        <f>F39</f>
        <v>0.90991810737033674</v>
      </c>
      <c r="X42" s="338">
        <f>G39</f>
        <v>0.82795096212041563</v>
      </c>
      <c r="Y42" s="338">
        <f>H39</f>
        <v>0.75336757244805796</v>
      </c>
      <c r="Z42" s="338">
        <f>I39</f>
        <v>0.68550279567612182</v>
      </c>
      <c r="AA42" s="338">
        <f>J39</f>
        <v>0.62375140643869142</v>
      </c>
    </row>
    <row r="43" spans="1:32" x14ac:dyDescent="0.25">
      <c r="A43" s="324" t="s">
        <v>812</v>
      </c>
      <c r="B43" s="324"/>
      <c r="C43" s="324"/>
      <c r="D43" s="324"/>
      <c r="E43" s="324"/>
      <c r="F43" s="324"/>
      <c r="G43" s="324"/>
      <c r="H43" s="324"/>
      <c r="I43" s="324"/>
      <c r="J43" s="324"/>
      <c r="K43" s="324"/>
      <c r="L43" s="324"/>
      <c r="M43" s="324"/>
      <c r="N43" s="324"/>
      <c r="O43" s="324"/>
      <c r="R43" s="280"/>
      <c r="S43" s="280"/>
      <c r="T43" s="280"/>
      <c r="U43" s="280"/>
      <c r="V43" s="13"/>
      <c r="W43" s="296"/>
      <c r="X43" s="296"/>
      <c r="Y43" s="296"/>
      <c r="Z43" s="296"/>
      <c r="AA43" s="296"/>
    </row>
    <row r="44" spans="1:32" x14ac:dyDescent="0.25">
      <c r="R44" s="325" t="s">
        <v>1170</v>
      </c>
      <c r="S44" s="325"/>
      <c r="T44" s="325"/>
      <c r="U44" s="325"/>
      <c r="V44" s="16"/>
      <c r="W44" s="335">
        <f>W40*W42</f>
        <v>-31897.74040615261</v>
      </c>
      <c r="X44" s="335">
        <f>X40*X42</f>
        <v>9310.9700634566507</v>
      </c>
      <c r="Y44" s="335">
        <f>Y40*Y42</f>
        <v>19048.153790495358</v>
      </c>
      <c r="Z44" s="335">
        <f>Z40*Z42</f>
        <v>19073.893617652571</v>
      </c>
      <c r="AA44" s="335">
        <f>AA40*AA42</f>
        <v>12359.414003820944</v>
      </c>
    </row>
    <row r="45" spans="1:32" x14ac:dyDescent="0.25">
      <c r="E45" s="341">
        <f>J29</f>
        <v>2021</v>
      </c>
      <c r="F45" s="341">
        <f>E45+1</f>
        <v>2022</v>
      </c>
      <c r="G45" s="341">
        <f t="shared" ref="G45:J45" si="12">F45+1</f>
        <v>2023</v>
      </c>
      <c r="H45" s="341">
        <f t="shared" si="12"/>
        <v>2024</v>
      </c>
      <c r="I45" s="341">
        <f t="shared" si="12"/>
        <v>2025</v>
      </c>
      <c r="J45" s="341">
        <f t="shared" si="12"/>
        <v>2026</v>
      </c>
    </row>
    <row r="46" spans="1:32" x14ac:dyDescent="0.25">
      <c r="A46" s="280" t="s">
        <v>813</v>
      </c>
      <c r="B46" s="280"/>
      <c r="C46" s="280"/>
      <c r="D46" s="280"/>
      <c r="E46" s="219"/>
      <c r="F46" s="219">
        <v>3.2000000000000001E-2</v>
      </c>
      <c r="G46" s="219">
        <v>0.03</v>
      </c>
      <c r="H46" s="219">
        <v>2.8000000000000001E-2</v>
      </c>
      <c r="I46" s="219">
        <v>2.5000000000000001E-2</v>
      </c>
      <c r="J46" s="219">
        <v>2.1000000000000001E-2</v>
      </c>
      <c r="R46" s="324" t="s">
        <v>812</v>
      </c>
      <c r="S46" s="324"/>
      <c r="T46" s="324"/>
      <c r="U46" s="324"/>
      <c r="V46" s="324"/>
      <c r="W46" s="324"/>
      <c r="X46" s="324"/>
      <c r="Y46" s="324"/>
      <c r="Z46" s="324"/>
      <c r="AA46" s="324"/>
      <c r="AB46" s="324"/>
      <c r="AC46" s="324"/>
      <c r="AD46" s="324"/>
      <c r="AE46" s="324"/>
      <c r="AF46" s="324"/>
    </row>
    <row r="47" spans="1:32" x14ac:dyDescent="0.25">
      <c r="A47" s="280" t="s">
        <v>805</v>
      </c>
      <c r="B47" s="280"/>
      <c r="C47" s="280"/>
      <c r="D47" s="280"/>
      <c r="E47" s="296">
        <f>J32</f>
        <v>106854.59974844813</v>
      </c>
      <c r="F47" s="296">
        <f>E47*(1+F46)</f>
        <v>110273.94694039848</v>
      </c>
      <c r="G47" s="296">
        <f t="shared" ref="G47:J47" si="13">F47*(1+G46)</f>
        <v>113582.16534861045</v>
      </c>
      <c r="H47" s="296">
        <f t="shared" si="13"/>
        <v>116762.46597837155</v>
      </c>
      <c r="I47" s="296">
        <f t="shared" si="13"/>
        <v>119681.52762783083</v>
      </c>
      <c r="J47" s="296">
        <f t="shared" si="13"/>
        <v>122194.83970801526</v>
      </c>
    </row>
    <row r="48" spans="1:32" x14ac:dyDescent="0.25">
      <c r="A48" s="280" t="s">
        <v>814</v>
      </c>
      <c r="B48" s="280"/>
      <c r="C48" s="280"/>
      <c r="D48" s="280"/>
      <c r="E48" s="296">
        <f>J15</f>
        <v>750610.42264612205</v>
      </c>
      <c r="F48" s="296">
        <f>E48*(1+F46)</f>
        <v>774629.95617079793</v>
      </c>
      <c r="G48" s="296">
        <f>F48*(1+G46)</f>
        <v>797868.85485592193</v>
      </c>
      <c r="H48" s="296">
        <f>G48*(1+H46)</f>
        <v>820209.18279188778</v>
      </c>
      <c r="I48" s="296">
        <f>H48*(1+I46)</f>
        <v>840714.41236168495</v>
      </c>
      <c r="J48" s="296">
        <f>I48*(1+J46)</f>
        <v>858369.41502128029</v>
      </c>
      <c r="V48" s="341">
        <f>AA29</f>
        <v>2021</v>
      </c>
      <c r="W48" s="341">
        <f>V48+1</f>
        <v>2022</v>
      </c>
      <c r="X48" s="341">
        <f t="shared" ref="X48" si="14">W48+1</f>
        <v>2023</v>
      </c>
      <c r="Y48" s="341">
        <f t="shared" ref="Y48" si="15">X48+1</f>
        <v>2024</v>
      </c>
      <c r="Z48" s="341">
        <f t="shared" ref="Z48" si="16">Y48+1</f>
        <v>2025</v>
      </c>
      <c r="AA48" s="341">
        <f t="shared" ref="AA48" si="17">Z48+1</f>
        <v>2026</v>
      </c>
    </row>
    <row r="49" spans="1:32" x14ac:dyDescent="0.25">
      <c r="A49" s="280" t="s">
        <v>593</v>
      </c>
      <c r="B49" s="280"/>
      <c r="C49" s="280"/>
      <c r="D49" s="280"/>
      <c r="E49" s="219">
        <f>J24</f>
        <v>0.15905387119022812</v>
      </c>
      <c r="F49" s="219">
        <f>F47/E48</f>
        <v>0.14691235774697939</v>
      </c>
      <c r="G49" s="219">
        <f>G47/F48</f>
        <v>0.14662764387537675</v>
      </c>
      <c r="H49" s="219">
        <f>H47/G48</f>
        <v>0.14634293000377405</v>
      </c>
      <c r="I49" s="219">
        <f>I47/H48</f>
        <v>0.14591585919637004</v>
      </c>
      <c r="J49" s="219">
        <f>J47/I48</f>
        <v>0.14534643145316467</v>
      </c>
      <c r="R49" s="280" t="s">
        <v>813</v>
      </c>
      <c r="S49" s="280"/>
      <c r="T49" s="280"/>
      <c r="U49" s="280"/>
      <c r="V49" s="219"/>
      <c r="W49" s="219">
        <v>3.2000000000000001E-2</v>
      </c>
      <c r="X49" s="219">
        <v>0.03</v>
      </c>
      <c r="Y49" s="219">
        <v>2.8000000000000001E-2</v>
      </c>
      <c r="Z49" s="219">
        <v>2.5000000000000001E-2</v>
      </c>
      <c r="AA49" s="219">
        <v>2.1000000000000001E-2</v>
      </c>
    </row>
    <row r="50" spans="1:32" x14ac:dyDescent="0.25">
      <c r="A50" s="216" t="s">
        <v>809</v>
      </c>
      <c r="B50" s="216"/>
      <c r="C50" s="216"/>
      <c r="D50" s="216"/>
      <c r="E50" s="216"/>
      <c r="F50" s="342">
        <f>F47-(F48-E48)</f>
        <v>86254.413415722607</v>
      </c>
      <c r="G50" s="342">
        <f t="shared" ref="G50:J50" si="18">G47-(G48-F48)</f>
        <v>90343.266663486444</v>
      </c>
      <c r="H50" s="342">
        <f t="shared" si="18"/>
        <v>94422.138042405699</v>
      </c>
      <c r="I50" s="342">
        <f t="shared" si="18"/>
        <v>99176.298058033659</v>
      </c>
      <c r="J50" s="342">
        <f t="shared" si="18"/>
        <v>104539.83704841993</v>
      </c>
      <c r="R50" s="280" t="s">
        <v>1172</v>
      </c>
      <c r="S50" s="280"/>
      <c r="T50" s="280"/>
      <c r="U50" s="280"/>
      <c r="V50" s="296">
        <f>AA33</f>
        <v>96318.599748448134</v>
      </c>
      <c r="W50" s="296">
        <f>V50*(1+W49)</f>
        <v>99400.794940398482</v>
      </c>
      <c r="X50" s="296">
        <f t="shared" ref="X50" si="19">W50*(1+X49)</f>
        <v>102382.81878861044</v>
      </c>
      <c r="Y50" s="296">
        <f t="shared" ref="Y50" si="20">X50*(1+Y49)</f>
        <v>105249.53771469154</v>
      </c>
      <c r="Z50" s="296">
        <f t="shared" ref="Z50" si="21">Y50*(1+Z49)</f>
        <v>107880.77615755882</v>
      </c>
      <c r="AA50" s="296">
        <f t="shared" ref="AA50" si="22">Z50*(1+AA49)</f>
        <v>110146.27245686755</v>
      </c>
    </row>
    <row r="51" spans="1:32" x14ac:dyDescent="0.25">
      <c r="A51" s="280"/>
      <c r="B51" s="280"/>
      <c r="C51" s="280"/>
      <c r="D51" s="280"/>
      <c r="E51" s="280"/>
      <c r="F51" s="136"/>
      <c r="G51" s="136"/>
      <c r="H51" s="136"/>
      <c r="I51" s="136"/>
      <c r="J51" s="136"/>
      <c r="R51" s="280" t="s">
        <v>814</v>
      </c>
      <c r="S51" s="280"/>
      <c r="T51" s="280"/>
      <c r="U51" s="280"/>
      <c r="V51" s="296">
        <f>E48</f>
        <v>750610.42264612205</v>
      </c>
      <c r="W51" s="296">
        <f>V51*(1+W49)</f>
        <v>774629.95617079793</v>
      </c>
      <c r="X51" s="296">
        <f>W51*(1+X49)</f>
        <v>797868.85485592193</v>
      </c>
      <c r="Y51" s="296">
        <f>X51*(1+Y49)</f>
        <v>820209.18279188778</v>
      </c>
      <c r="Z51" s="296">
        <f>Y51*(1+Z49)</f>
        <v>840714.41236168495</v>
      </c>
      <c r="AA51" s="296">
        <f>Z51*(1+AA49)</f>
        <v>858369.41502128029</v>
      </c>
    </row>
    <row r="52" spans="1:32" x14ac:dyDescent="0.25">
      <c r="A52" s="280" t="s">
        <v>810</v>
      </c>
      <c r="B52" s="280"/>
      <c r="C52" s="280"/>
      <c r="D52" s="280"/>
      <c r="E52" s="339">
        <f>WACC!G68</f>
        <v>9.9000000000000005E-2</v>
      </c>
      <c r="F52" s="338">
        <f>1/(1+$E$52)^(F45-$E$4)</f>
        <v>0.56756269921627978</v>
      </c>
      <c r="G52" s="338">
        <f t="shared" ref="G52:I52" si="23">1/(1+$E$52)^(G45-$E$4)</f>
        <v>0.51643557708487697</v>
      </c>
      <c r="H52" s="338">
        <f t="shared" si="23"/>
        <v>0.46991408287977882</v>
      </c>
      <c r="I52" s="338">
        <f t="shared" si="23"/>
        <v>0.42758333292063588</v>
      </c>
      <c r="J52" s="338"/>
      <c r="R52" s="280" t="s">
        <v>593</v>
      </c>
      <c r="S52" s="280"/>
      <c r="T52" s="280"/>
      <c r="U52" s="280"/>
      <c r="V52" s="219">
        <f>E49</f>
        <v>0.15905387119022812</v>
      </c>
      <c r="W52" s="219">
        <f>W50/V51</f>
        <v>0.13242661165026393</v>
      </c>
      <c r="X52" s="219">
        <f>X50/W51</f>
        <v>0.13216997093001151</v>
      </c>
      <c r="Y52" s="219">
        <f>Y50/X51</f>
        <v>0.13191333020975904</v>
      </c>
      <c r="Z52" s="219">
        <f>Z50/Y51</f>
        <v>0.13152836912938035</v>
      </c>
      <c r="AA52" s="219">
        <f>AA50/Z51</f>
        <v>0.13101508768887546</v>
      </c>
    </row>
    <row r="53" spans="1:32" x14ac:dyDescent="0.25">
      <c r="A53" s="280"/>
      <c r="B53" s="280"/>
      <c r="C53" s="280"/>
      <c r="D53" s="280"/>
      <c r="E53" s="280"/>
      <c r="F53" s="136"/>
      <c r="G53" s="136"/>
      <c r="H53" s="136"/>
      <c r="I53" s="136"/>
      <c r="J53" s="136"/>
      <c r="R53" s="216" t="s">
        <v>1167</v>
      </c>
      <c r="S53" s="216"/>
      <c r="T53" s="216"/>
      <c r="U53" s="216"/>
      <c r="V53" s="216"/>
      <c r="W53" s="342">
        <f>W50-(W51-V51)</f>
        <v>75381.261415722605</v>
      </c>
      <c r="X53" s="342">
        <f t="shared" ref="X53" si="24">X50-(X51-W51)</f>
        <v>79143.920103486438</v>
      </c>
      <c r="Y53" s="342">
        <f t="shared" ref="Y53" si="25">Y50-(Y51-X51)</f>
        <v>82909.209778725693</v>
      </c>
      <c r="Z53" s="342">
        <f t="shared" ref="Z53" si="26">Z50-(Z51-Y51)</f>
        <v>87375.546587761652</v>
      </c>
      <c r="AA53" s="342">
        <f t="shared" ref="AA53" si="27">AA50-(AA51-Z51)</f>
        <v>92491.269797272209</v>
      </c>
    </row>
    <row r="54" spans="1:32" x14ac:dyDescent="0.25">
      <c r="A54" s="325" t="s">
        <v>811</v>
      </c>
      <c r="B54" s="325"/>
      <c r="C54" s="325"/>
      <c r="D54" s="325"/>
      <c r="E54" s="325"/>
      <c r="F54" s="342">
        <f>F50*F52</f>
        <v>48954.787697544416</v>
      </c>
      <c r="G54" s="342">
        <f t="shared" ref="G54:I54" si="28">G50*G52</f>
        <v>46656.477055090552</v>
      </c>
      <c r="H54" s="342">
        <f t="shared" si="28"/>
        <v>44370.292401744948</v>
      </c>
      <c r="I54" s="342">
        <f t="shared" si="28"/>
        <v>42406.132070384418</v>
      </c>
      <c r="J54" s="340"/>
      <c r="R54" s="280"/>
      <c r="S54" s="280"/>
      <c r="T54" s="280"/>
      <c r="U54" s="280"/>
      <c r="V54" s="280"/>
      <c r="W54" s="136"/>
      <c r="X54" s="136"/>
      <c r="Y54" s="136"/>
      <c r="Z54" s="136"/>
      <c r="AA54" s="136"/>
    </row>
    <row r="55" spans="1:32" x14ac:dyDescent="0.25">
      <c r="R55" s="280" t="s">
        <v>810</v>
      </c>
      <c r="S55" s="280"/>
      <c r="T55" s="280"/>
      <c r="U55" s="280"/>
      <c r="V55" s="339">
        <f>E52</f>
        <v>9.9000000000000005E-2</v>
      </c>
      <c r="W55" s="338">
        <f>1/(1+$E$52)^(W48-$E$4)</f>
        <v>0.56756269921627978</v>
      </c>
      <c r="X55" s="338">
        <f>1/(1+$E$52)^(X48-$E$4)</f>
        <v>0.51643557708487697</v>
      </c>
      <c r="Y55" s="338">
        <f t="shared" ref="Y55:Z55" si="29">1/(1+$E$52)^(Y48-$E$4)</f>
        <v>0.46991408287977882</v>
      </c>
      <c r="Z55" s="338">
        <f t="shared" si="29"/>
        <v>0.42758333292063588</v>
      </c>
      <c r="AA55" s="338"/>
    </row>
    <row r="56" spans="1:32" x14ac:dyDescent="0.25">
      <c r="R56" s="280"/>
      <c r="S56" s="280"/>
      <c r="T56" s="280"/>
      <c r="U56" s="280"/>
      <c r="V56" s="280"/>
      <c r="W56" s="136"/>
      <c r="X56" s="136"/>
      <c r="Y56" s="136"/>
      <c r="Z56" s="136"/>
      <c r="AA56" s="136"/>
    </row>
    <row r="57" spans="1:32" x14ac:dyDescent="0.25">
      <c r="A57" s="324" t="s">
        <v>815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4"/>
      <c r="L57" s="324"/>
      <c r="M57" s="324"/>
      <c r="N57" s="324"/>
      <c r="O57" s="324"/>
      <c r="R57" s="325" t="s">
        <v>1170</v>
      </c>
      <c r="S57" s="325"/>
      <c r="T57" s="325"/>
      <c r="U57" s="325"/>
      <c r="V57" s="325"/>
      <c r="W57" s="342">
        <f>W53*W55</f>
        <v>42783.592199435523</v>
      </c>
      <c r="X57" s="342">
        <f t="shared" ref="X57:Z57" si="30">X53*X55</f>
        <v>40872.736051403415</v>
      </c>
      <c r="Y57" s="342">
        <f t="shared" si="30"/>
        <v>38960.205275457076</v>
      </c>
      <c r="Z57" s="342">
        <f t="shared" si="30"/>
        <v>37360.327425757423</v>
      </c>
      <c r="AA57" s="340"/>
    </row>
    <row r="58" spans="1:32" s="83" customFormat="1" x14ac:dyDescent="0.25">
      <c r="A58" s="328"/>
      <c r="B58" s="328"/>
      <c r="C58" s="328"/>
      <c r="D58" s="328"/>
      <c r="E58" s="328"/>
      <c r="F58" s="328"/>
      <c r="G58" s="328"/>
      <c r="H58" s="328"/>
      <c r="I58" s="328"/>
      <c r="J58" s="328"/>
      <c r="K58" s="328"/>
      <c r="L58" s="328"/>
      <c r="M58" s="328"/>
      <c r="N58" s="328"/>
      <c r="O58" s="32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</row>
    <row r="59" spans="1:32" x14ac:dyDescent="0.25">
      <c r="A59" s="280" t="s">
        <v>816</v>
      </c>
      <c r="B59" s="280"/>
      <c r="C59" s="280"/>
      <c r="D59" s="280"/>
      <c r="E59" s="344">
        <f>J46</f>
        <v>2.1000000000000001E-2</v>
      </c>
    </row>
    <row r="60" spans="1:32" x14ac:dyDescent="0.25">
      <c r="A60" s="280" t="s">
        <v>817</v>
      </c>
      <c r="B60" s="280"/>
      <c r="C60" s="280"/>
      <c r="D60" s="280"/>
      <c r="E60" s="344">
        <f>J49</f>
        <v>0.14534643145316467</v>
      </c>
      <c r="R60" s="324" t="s">
        <v>815</v>
      </c>
      <c r="S60" s="324"/>
      <c r="T60" s="324"/>
      <c r="U60" s="324"/>
      <c r="V60" s="324"/>
      <c r="W60" s="324"/>
      <c r="X60" s="324"/>
      <c r="Y60" s="324"/>
      <c r="Z60" s="324"/>
      <c r="AA60" s="324"/>
      <c r="AB60" s="324"/>
      <c r="AC60" s="324"/>
      <c r="AD60" s="324"/>
      <c r="AE60" s="324"/>
      <c r="AF60" s="324"/>
    </row>
    <row r="61" spans="1:32" x14ac:dyDescent="0.25">
      <c r="A61" s="280" t="s">
        <v>818</v>
      </c>
      <c r="B61" s="280"/>
      <c r="C61" s="280"/>
      <c r="D61" s="280"/>
      <c r="E61" s="344">
        <f>E59/E60</f>
        <v>0.14448239141507152</v>
      </c>
      <c r="R61" s="328"/>
      <c r="S61" s="328"/>
      <c r="T61" s="328"/>
      <c r="U61" s="328"/>
      <c r="V61" s="328"/>
      <c r="W61" s="328"/>
      <c r="X61" s="328"/>
      <c r="Y61" s="328"/>
      <c r="Z61" s="328"/>
      <c r="AA61" s="328"/>
      <c r="AB61" s="328"/>
      <c r="AC61" s="328"/>
      <c r="AD61" s="328"/>
      <c r="AE61" s="328"/>
      <c r="AF61" s="328"/>
    </row>
    <row r="62" spans="1:32" x14ac:dyDescent="0.25">
      <c r="R62" s="280" t="s">
        <v>816</v>
      </c>
      <c r="S62" s="280"/>
      <c r="T62" s="280"/>
      <c r="U62" s="280"/>
      <c r="V62" s="344">
        <f>AA49</f>
        <v>2.1000000000000001E-2</v>
      </c>
    </row>
    <row r="63" spans="1:32" x14ac:dyDescent="0.25">
      <c r="A63" s="280" t="s">
        <v>819</v>
      </c>
      <c r="B63" s="280"/>
      <c r="C63" s="280"/>
      <c r="D63" s="280"/>
      <c r="E63" s="796">
        <f>I48*E59</f>
        <v>17655.002659595386</v>
      </c>
      <c r="F63" s="796"/>
      <c r="R63" s="280" t="s">
        <v>817</v>
      </c>
      <c r="S63" s="280"/>
      <c r="T63" s="280"/>
      <c r="U63" s="280"/>
      <c r="V63" s="344">
        <f>AA52</f>
        <v>0.13101508768887546</v>
      </c>
    </row>
    <row r="64" spans="1:32" x14ac:dyDescent="0.25">
      <c r="A64" s="280" t="s">
        <v>820</v>
      </c>
      <c r="B64" s="280"/>
      <c r="C64" s="280"/>
      <c r="D64" s="280"/>
      <c r="E64" s="796">
        <f>J47-E63</f>
        <v>104539.83704841988</v>
      </c>
      <c r="F64" s="796"/>
      <c r="R64" s="280" t="s">
        <v>818</v>
      </c>
      <c r="S64" s="280"/>
      <c r="T64" s="280"/>
      <c r="U64" s="280"/>
      <c r="V64" s="344">
        <f>V62/V63</f>
        <v>0.16028688275864214</v>
      </c>
    </row>
    <row r="65" spans="1:32" x14ac:dyDescent="0.25">
      <c r="A65" s="280" t="s">
        <v>821</v>
      </c>
      <c r="B65" s="280"/>
      <c r="C65" s="280"/>
      <c r="D65" s="280"/>
      <c r="E65" s="796">
        <f>(J47*(1-E59/E60)/(E39-E59))</f>
        <v>1340254.3211335882</v>
      </c>
      <c r="F65" s="796"/>
    </row>
    <row r="66" spans="1:32" x14ac:dyDescent="0.25">
      <c r="A66" s="280" t="s">
        <v>822</v>
      </c>
      <c r="B66" s="280"/>
      <c r="C66" s="280"/>
      <c r="D66" s="280"/>
      <c r="E66" s="796">
        <f>E64/(E39-E59)</f>
        <v>1340254.3211335882</v>
      </c>
      <c r="F66" s="796"/>
      <c r="R66" s="280" t="s">
        <v>819</v>
      </c>
      <c r="S66" s="280"/>
      <c r="T66" s="280"/>
      <c r="U66" s="280"/>
      <c r="V66" s="536">
        <f>Z51*V62</f>
        <v>17655.002659595386</v>
      </c>
      <c r="W66" s="536"/>
    </row>
    <row r="67" spans="1:32" x14ac:dyDescent="0.25">
      <c r="A67" s="343"/>
      <c r="R67" s="280" t="s">
        <v>1171</v>
      </c>
      <c r="S67" s="280"/>
      <c r="T67" s="280"/>
      <c r="U67" s="280"/>
      <c r="V67" s="536">
        <f>AA50-V66</f>
        <v>92491.269797272165</v>
      </c>
      <c r="W67" s="536"/>
    </row>
    <row r="68" spans="1:32" x14ac:dyDescent="0.25">
      <c r="A68" s="324" t="s">
        <v>823</v>
      </c>
      <c r="B68" s="324"/>
      <c r="C68" s="324"/>
      <c r="D68" s="324"/>
      <c r="E68" s="324"/>
      <c r="F68" s="324"/>
      <c r="G68" s="324"/>
      <c r="H68" s="324"/>
      <c r="I68" s="324"/>
      <c r="J68" s="324"/>
      <c r="K68" s="324"/>
      <c r="L68" s="324"/>
      <c r="M68" s="324"/>
      <c r="N68" s="324"/>
      <c r="O68" s="324"/>
      <c r="R68" s="280" t="s">
        <v>821</v>
      </c>
      <c r="S68" s="280"/>
      <c r="T68" s="280"/>
      <c r="U68" s="280"/>
      <c r="V68" s="536">
        <f>(AA50*(1-V62/V63)/(V42-V62))</f>
        <v>1185785.510221438</v>
      </c>
      <c r="W68" s="536"/>
    </row>
    <row r="69" spans="1:32" s="83" customFormat="1" x14ac:dyDescent="0.25">
      <c r="A69" s="328"/>
      <c r="B69" s="328"/>
      <c r="C69" s="328"/>
      <c r="D69" s="328"/>
      <c r="E69" s="328"/>
      <c r="F69" s="328"/>
      <c r="G69" s="328"/>
      <c r="H69" s="328"/>
      <c r="I69" s="328"/>
      <c r="J69" s="328"/>
      <c r="K69" s="328"/>
      <c r="L69" s="328"/>
      <c r="M69" s="328"/>
      <c r="N69" s="328"/>
      <c r="O69" s="328"/>
      <c r="R69" s="280" t="s">
        <v>822</v>
      </c>
      <c r="S69" s="280"/>
      <c r="T69" s="280"/>
      <c r="U69" s="280"/>
      <c r="V69" s="536">
        <f>V67/(V42-V62)</f>
        <v>1185785.510221438</v>
      </c>
      <c r="W69" s="536"/>
      <c r="X69"/>
      <c r="Y69"/>
      <c r="Z69"/>
      <c r="AA69"/>
      <c r="AB69"/>
      <c r="AC69"/>
      <c r="AD69"/>
      <c r="AE69"/>
      <c r="AF69"/>
    </row>
    <row r="70" spans="1:32" x14ac:dyDescent="0.25">
      <c r="A70" s="280" t="s">
        <v>824</v>
      </c>
      <c r="B70" s="280"/>
      <c r="C70" s="280"/>
      <c r="D70" s="280"/>
      <c r="E70" s="345">
        <f>SUM(F41:J41)</f>
        <v>101871.60517782276</v>
      </c>
      <c r="R70" s="343"/>
    </row>
    <row r="71" spans="1:32" x14ac:dyDescent="0.25">
      <c r="A71" s="280" t="s">
        <v>825</v>
      </c>
      <c r="B71" s="280"/>
      <c r="C71" s="280"/>
      <c r="D71" s="280"/>
      <c r="E71" s="345">
        <f>SUM(F54:I54)</f>
        <v>182387.68922476436</v>
      </c>
      <c r="R71" s="324" t="s">
        <v>823</v>
      </c>
      <c r="S71" s="324"/>
      <c r="T71" s="324"/>
      <c r="U71" s="324"/>
      <c r="V71" s="324"/>
      <c r="W71" s="324"/>
      <c r="X71" s="324"/>
      <c r="Y71" s="324"/>
      <c r="Z71" s="324"/>
      <c r="AA71" s="324"/>
      <c r="AB71" s="324"/>
      <c r="AC71" s="324"/>
      <c r="AD71" s="324"/>
      <c r="AE71" s="324"/>
      <c r="AF71" s="324"/>
    </row>
    <row r="72" spans="1:32" x14ac:dyDescent="0.25">
      <c r="A72" s="280" t="s">
        <v>826</v>
      </c>
      <c r="B72" s="280"/>
      <c r="C72" s="280"/>
      <c r="D72" s="280"/>
      <c r="E72" s="345">
        <f>E65*I52</f>
        <v>573070.40959158388</v>
      </c>
      <c r="R72" s="328"/>
      <c r="S72" s="328"/>
      <c r="T72" s="328"/>
      <c r="U72" s="328"/>
      <c r="V72" s="328"/>
      <c r="W72" s="328"/>
      <c r="X72" s="328"/>
      <c r="Y72" s="328"/>
      <c r="Z72" s="328"/>
      <c r="AA72" s="328"/>
      <c r="AB72" s="328"/>
      <c r="AC72" s="328"/>
      <c r="AD72" s="328"/>
      <c r="AE72" s="328"/>
      <c r="AF72" s="328"/>
    </row>
    <row r="73" spans="1:32" x14ac:dyDescent="0.25">
      <c r="A73" s="325" t="s">
        <v>827</v>
      </c>
      <c r="B73" s="325"/>
      <c r="C73" s="325"/>
      <c r="D73" s="325"/>
      <c r="E73" s="346">
        <f>SUM(E70:E72)</f>
        <v>857329.703994171</v>
      </c>
      <c r="R73" s="280" t="s">
        <v>824</v>
      </c>
      <c r="S73" s="280"/>
      <c r="T73" s="280"/>
      <c r="U73" s="280"/>
      <c r="V73" s="536">
        <f>SUM(W44:AA44)</f>
        <v>27894.691069272914</v>
      </c>
    </row>
    <row r="74" spans="1:32" x14ac:dyDescent="0.25">
      <c r="A74" s="280" t="s">
        <v>828</v>
      </c>
      <c r="B74" s="280"/>
      <c r="C74" s="280"/>
      <c r="D74" s="280"/>
      <c r="E74" s="345">
        <f>WACC!E43</f>
        <v>169890.6</v>
      </c>
      <c r="R74" s="280" t="s">
        <v>825</v>
      </c>
      <c r="S74" s="280"/>
      <c r="T74" s="280"/>
      <c r="U74" s="280"/>
      <c r="V74" s="536">
        <f>SUM(W57:Z57)</f>
        <v>159976.86095205345</v>
      </c>
    </row>
    <row r="75" spans="1:32" x14ac:dyDescent="0.25">
      <c r="A75" s="325" t="s">
        <v>829</v>
      </c>
      <c r="B75" s="325"/>
      <c r="C75" s="325"/>
      <c r="D75" s="325"/>
      <c r="E75" s="346">
        <f>E73-E74</f>
        <v>687439.10399417102</v>
      </c>
      <c r="R75" s="280" t="s">
        <v>826</v>
      </c>
      <c r="S75" s="280"/>
      <c r="T75" s="280"/>
      <c r="U75" s="280"/>
      <c r="V75" s="536">
        <f>V68*Z55</f>
        <v>507022.12058947922</v>
      </c>
    </row>
    <row r="76" spans="1:32" x14ac:dyDescent="0.25">
      <c r="A76" s="280" t="s">
        <v>830</v>
      </c>
      <c r="B76" s="280"/>
      <c r="C76" s="280"/>
      <c r="D76" s="280"/>
      <c r="E76" s="345">
        <f>Pohledávky!E55+Dluhopisy!E17+Dluhopisy!E8+E8</f>
        <v>26625.74</v>
      </c>
      <c r="R76" s="325" t="s">
        <v>827</v>
      </c>
      <c r="S76" s="325"/>
      <c r="T76" s="325"/>
      <c r="U76" s="325"/>
      <c r="V76" s="346">
        <f>SUM(V73:V75)</f>
        <v>694893.6726108056</v>
      </c>
    </row>
    <row r="77" spans="1:32" x14ac:dyDescent="0.25">
      <c r="A77" s="216" t="s">
        <v>831</v>
      </c>
      <c r="B77" s="216"/>
      <c r="C77" s="216"/>
      <c r="D77" s="216"/>
      <c r="E77" s="282">
        <f>ROUND(E75+E76,0)</f>
        <v>714065</v>
      </c>
      <c r="R77" s="280" t="s">
        <v>828</v>
      </c>
      <c r="S77" s="280"/>
      <c r="T77" s="280"/>
      <c r="U77" s="280"/>
      <c r="V77" s="536">
        <v>0</v>
      </c>
    </row>
    <row r="78" spans="1:32" x14ac:dyDescent="0.25">
      <c r="R78" s="325" t="s">
        <v>829</v>
      </c>
      <c r="S78" s="325"/>
      <c r="T78" s="325"/>
      <c r="U78" s="325"/>
      <c r="V78" s="346">
        <f>V76-V77</f>
        <v>694893.6726108056</v>
      </c>
    </row>
    <row r="79" spans="1:32" x14ac:dyDescent="0.25">
      <c r="A79" s="324" t="s">
        <v>832</v>
      </c>
      <c r="B79" s="324"/>
      <c r="C79" s="324"/>
      <c r="D79" s="324"/>
      <c r="E79" s="324"/>
      <c r="F79" s="324"/>
      <c r="G79" s="324"/>
      <c r="H79" s="324"/>
      <c r="I79" s="324"/>
      <c r="J79" s="324"/>
      <c r="K79" s="324"/>
      <c r="L79" s="324"/>
      <c r="M79" s="324"/>
      <c r="N79" s="324"/>
      <c r="O79" s="324"/>
      <c r="R79" s="280" t="s">
        <v>830</v>
      </c>
      <c r="S79" s="280"/>
      <c r="T79" s="280"/>
      <c r="U79" s="280"/>
      <c r="V79" s="536">
        <f>E76</f>
        <v>26625.74</v>
      </c>
    </row>
    <row r="80" spans="1:32" s="83" customFormat="1" x14ac:dyDescent="0.25">
      <c r="A80" s="328"/>
      <c r="B80" s="328"/>
      <c r="C80" s="328"/>
      <c r="D80" s="328"/>
      <c r="E80" s="328"/>
      <c r="F80" s="328"/>
      <c r="G80" s="328"/>
      <c r="H80" s="328"/>
      <c r="I80" s="328"/>
      <c r="J80" s="328"/>
      <c r="K80" s="328"/>
      <c r="L80" s="328"/>
      <c r="M80" s="328"/>
      <c r="N80" s="328"/>
      <c r="O80" s="328"/>
      <c r="R80" s="216" t="s">
        <v>831</v>
      </c>
      <c r="S80" s="216"/>
      <c r="T80" s="216"/>
      <c r="U80" s="216"/>
      <c r="V80" s="282">
        <f>ROUND(V78+V79,0)</f>
        <v>721519</v>
      </c>
      <c r="W80"/>
      <c r="X80"/>
      <c r="Y80"/>
      <c r="Z80"/>
      <c r="AA80"/>
      <c r="AB80"/>
      <c r="AC80"/>
      <c r="AD80"/>
      <c r="AE80"/>
      <c r="AF80"/>
    </row>
    <row r="81" spans="1:32" x14ac:dyDescent="0.25">
      <c r="A81" s="280" t="s">
        <v>833</v>
      </c>
      <c r="B81" s="280"/>
      <c r="C81" s="280"/>
      <c r="D81" s="280"/>
      <c r="E81" s="344">
        <f>E74/E75</f>
        <v>0.24713549027528198</v>
      </c>
    </row>
    <row r="82" spans="1:32" x14ac:dyDescent="0.25">
      <c r="A82" s="280" t="s">
        <v>834</v>
      </c>
      <c r="B82" s="280"/>
      <c r="C82" s="280"/>
      <c r="D82" s="280"/>
      <c r="E82" s="344">
        <f>E75/E73</f>
        <v>0.80183749704634633</v>
      </c>
      <c r="R82" s="324" t="s">
        <v>832</v>
      </c>
      <c r="S82" s="324"/>
      <c r="T82" s="324"/>
      <c r="U82" s="324"/>
      <c r="V82" s="324"/>
      <c r="W82" s="324"/>
      <c r="X82" s="324"/>
      <c r="Y82" s="324"/>
      <c r="Z82" s="324"/>
      <c r="AA82" s="324"/>
      <c r="AB82" s="324"/>
      <c r="AC82" s="324"/>
      <c r="AD82" s="324"/>
      <c r="AE82" s="324"/>
      <c r="AF82" s="324"/>
    </row>
    <row r="83" spans="1:32" x14ac:dyDescent="0.25">
      <c r="A83" s="280" t="s">
        <v>835</v>
      </c>
      <c r="B83" s="280"/>
      <c r="C83" s="280"/>
      <c r="D83" s="280"/>
      <c r="E83" s="345">
        <f>E75/WACC!E15*1000</f>
        <v>4582.9273599611397</v>
      </c>
      <c r="R83" s="328"/>
      <c r="S83" s="328"/>
      <c r="T83" s="328"/>
      <c r="U83" s="328"/>
      <c r="V83" s="328"/>
      <c r="W83" s="328"/>
      <c r="X83" s="328"/>
      <c r="Y83" s="328"/>
      <c r="Z83" s="328"/>
      <c r="AA83" s="328"/>
      <c r="AB83" s="328"/>
      <c r="AC83" s="328"/>
      <c r="AD83" s="328"/>
      <c r="AE83" s="328"/>
      <c r="AF83" s="328"/>
    </row>
    <row r="84" spans="1:32" x14ac:dyDescent="0.25">
      <c r="A84" s="280" t="s">
        <v>836</v>
      </c>
      <c r="B84" s="280"/>
      <c r="C84" s="280"/>
      <c r="D84" s="280"/>
      <c r="E84" s="345">
        <f>E77/WACC!E16*1000</f>
        <v>714065</v>
      </c>
      <c r="R84" s="280" t="s">
        <v>833</v>
      </c>
      <c r="S84" s="280"/>
      <c r="T84" s="280"/>
      <c r="U84" s="280"/>
      <c r="V84" s="344">
        <f>E81</f>
        <v>0.24713549027528198</v>
      </c>
    </row>
    <row r="85" spans="1:32" x14ac:dyDescent="0.25">
      <c r="A85" s="280" t="s">
        <v>837</v>
      </c>
      <c r="B85" s="280"/>
      <c r="C85" s="280"/>
      <c r="D85" s="280"/>
      <c r="E85" s="354">
        <f>E77/Rozvaha!G69</f>
        <v>2.0824049879849755</v>
      </c>
      <c r="R85" s="280" t="s">
        <v>834</v>
      </c>
      <c r="S85" s="280"/>
      <c r="T85" s="280"/>
      <c r="U85" s="280"/>
      <c r="V85" s="344">
        <f>V78/V76</f>
        <v>1</v>
      </c>
    </row>
    <row r="86" spans="1:32" x14ac:dyDescent="0.25">
      <c r="R86" s="280" t="s">
        <v>835</v>
      </c>
      <c r="S86" s="280"/>
      <c r="T86" s="280"/>
      <c r="U86" s="280"/>
      <c r="V86" s="536">
        <f>V78/WACC!E15*1000</f>
        <v>4632.6244840720374</v>
      </c>
    </row>
    <row r="87" spans="1:32" x14ac:dyDescent="0.25">
      <c r="R87" s="280" t="s">
        <v>836</v>
      </c>
      <c r="S87" s="280"/>
      <c r="T87" s="280"/>
      <c r="U87" s="280"/>
      <c r="V87" s="536">
        <f>V80/WACC!E16*1000</f>
        <v>721519</v>
      </c>
    </row>
    <row r="88" spans="1:32" x14ac:dyDescent="0.25">
      <c r="R88" s="280" t="s">
        <v>837</v>
      </c>
      <c r="S88" s="280"/>
      <c r="T88" s="280"/>
      <c r="U88" s="280"/>
      <c r="V88" s="354">
        <f>V80/Rozvaha!G69</f>
        <v>2.1041428504771016</v>
      </c>
    </row>
  </sheetData>
  <mergeCells count="4">
    <mergeCell ref="E63:F63"/>
    <mergeCell ref="E64:F64"/>
    <mergeCell ref="E65:F65"/>
    <mergeCell ref="E66:F66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ADF3-5A14-4780-AA64-1C42FBB3E365}">
  <dimension ref="A2:AB48"/>
  <sheetViews>
    <sheetView zoomScale="80" zoomScaleNormal="80" workbookViewId="0">
      <selection activeCell="V26" sqref="V26"/>
    </sheetView>
  </sheetViews>
  <sheetFormatPr defaultRowHeight="15" x14ac:dyDescent="0.25"/>
  <cols>
    <col min="4" max="4" width="16.140625" customWidth="1"/>
    <col min="20" max="20" width="10.42578125" customWidth="1"/>
  </cols>
  <sheetData>
    <row r="2" spans="1:28" x14ac:dyDescent="0.25">
      <c r="A2" s="324" t="s">
        <v>850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P2" s="324" t="s">
        <v>850</v>
      </c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</row>
    <row r="3" spans="1:28" s="83" customFormat="1" x14ac:dyDescent="0.25">
      <c r="A3" s="328"/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P3" s="328"/>
      <c r="Q3" s="328"/>
      <c r="R3" s="328"/>
      <c r="S3" s="328"/>
      <c r="T3" s="328"/>
      <c r="U3" s="328"/>
      <c r="V3" s="328"/>
      <c r="W3" s="328"/>
      <c r="X3" s="328"/>
      <c r="Y3" s="328"/>
      <c r="Z3" s="328"/>
      <c r="AA3" s="328"/>
      <c r="AB3" s="328"/>
    </row>
    <row r="4" spans="1:28" x14ac:dyDescent="0.25">
      <c r="A4" s="280" t="s">
        <v>851</v>
      </c>
      <c r="C4" s="337">
        <f>DCF!E39</f>
        <v>9.9000000000000005E-2</v>
      </c>
      <c r="P4" s="280" t="s">
        <v>1178</v>
      </c>
      <c r="R4" s="337">
        <f>CAPM!H22</f>
        <v>0.115</v>
      </c>
    </row>
    <row r="6" spans="1:28" x14ac:dyDescent="0.25">
      <c r="A6" s="178" t="s">
        <v>1173</v>
      </c>
      <c r="P6" s="178" t="s">
        <v>1174</v>
      </c>
    </row>
    <row r="7" spans="1:28" x14ac:dyDescent="0.25">
      <c r="A7" s="324" t="s">
        <v>852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P7" s="324" t="s">
        <v>852</v>
      </c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</row>
    <row r="8" spans="1:28" x14ac:dyDescent="0.25">
      <c r="A8" s="355"/>
      <c r="B8" s="214"/>
      <c r="C8" s="214"/>
      <c r="D8" s="355"/>
      <c r="E8" s="323">
        <f>Rozvaha!G1</f>
        <v>2016</v>
      </c>
      <c r="F8" s="321">
        <f>E8+1</f>
        <v>2017</v>
      </c>
      <c r="G8" s="322">
        <f>F8+1</f>
        <v>2018</v>
      </c>
      <c r="H8" s="322">
        <f>G8+1</f>
        <v>2019</v>
      </c>
      <c r="I8" s="322">
        <f>H8+1</f>
        <v>2020</v>
      </c>
      <c r="J8" s="322">
        <f>I8+1</f>
        <v>2021</v>
      </c>
      <c r="P8" s="355"/>
      <c r="Q8" s="214"/>
      <c r="R8" s="214"/>
      <c r="S8" s="355"/>
      <c r="T8" s="323">
        <f>E8</f>
        <v>2016</v>
      </c>
      <c r="U8" s="321">
        <f>T8+1</f>
        <v>2017</v>
      </c>
      <c r="V8" s="322">
        <f>U8+1</f>
        <v>2018</v>
      </c>
      <c r="W8" s="322">
        <f>V8+1</f>
        <v>2019</v>
      </c>
      <c r="X8" s="322">
        <f>W8+1</f>
        <v>2020</v>
      </c>
      <c r="Y8" s="322">
        <f>X8+1</f>
        <v>2021</v>
      </c>
    </row>
    <row r="9" spans="1:28" x14ac:dyDescent="0.25">
      <c r="A9" s="280" t="s">
        <v>853</v>
      </c>
      <c r="B9" s="280"/>
      <c r="C9" s="280"/>
      <c r="D9" s="280"/>
      <c r="E9" s="358">
        <f>DCF!E17</f>
        <v>58289.22</v>
      </c>
      <c r="F9" s="212">
        <f>DCF!F17</f>
        <v>57547.901696726665</v>
      </c>
      <c r="G9" s="212">
        <f>DCF!G17</f>
        <v>62473.177000794298</v>
      </c>
      <c r="H9" s="212">
        <f>DCF!H17</f>
        <v>77119.54197631283</v>
      </c>
      <c r="I9" s="212">
        <f>DCF!I17</f>
        <v>90700.432402672624</v>
      </c>
      <c r="J9" s="212">
        <f>DCF!J17</f>
        <v>106854.59974844813</v>
      </c>
      <c r="P9" s="280" t="s">
        <v>1175</v>
      </c>
      <c r="Q9" s="280"/>
      <c r="R9" s="280"/>
      <c r="S9" s="280"/>
      <c r="T9" s="358">
        <f>E9</f>
        <v>58289.22</v>
      </c>
      <c r="U9" s="212">
        <f>F9</f>
        <v>57547.901696726665</v>
      </c>
      <c r="V9" s="212">
        <f t="shared" ref="V9:Y9" si="0">G9</f>
        <v>62473.177000794298</v>
      </c>
      <c r="W9" s="212">
        <f t="shared" si="0"/>
        <v>77119.54197631283</v>
      </c>
      <c r="X9" s="212">
        <f t="shared" si="0"/>
        <v>90700.432402672624</v>
      </c>
      <c r="Y9" s="212">
        <f t="shared" si="0"/>
        <v>106854.59974844813</v>
      </c>
    </row>
    <row r="10" spans="1:28" x14ac:dyDescent="0.25">
      <c r="A10" s="280" t="s">
        <v>854</v>
      </c>
      <c r="B10" s="280"/>
      <c r="C10" s="280"/>
      <c r="D10" s="280"/>
      <c r="E10" s="358">
        <f>DCF!E15</f>
        <v>488911.1</v>
      </c>
      <c r="F10" s="212">
        <f>DCF!F15</f>
        <v>559540.61840308842</v>
      </c>
      <c r="G10" s="212">
        <f>DCF!G15</f>
        <v>589865.19256322691</v>
      </c>
      <c r="H10" s="212">
        <f>DCF!H15</f>
        <v>622428.5808292568</v>
      </c>
      <c r="I10" s="212">
        <f>DCF!I15</f>
        <v>671813.88889711606</v>
      </c>
      <c r="J10" s="212">
        <f>DCF!J15</f>
        <v>750610.42264612205</v>
      </c>
      <c r="P10" s="280" t="s">
        <v>1176</v>
      </c>
      <c r="Q10" s="280"/>
      <c r="R10" s="280"/>
      <c r="S10" s="280"/>
      <c r="T10" s="358">
        <f>EVA!E10-Plán!E150</f>
        <v>331535.09999999998</v>
      </c>
      <c r="U10" s="212">
        <f>EVA!F10-Plán!F150</f>
        <v>402164.61840308842</v>
      </c>
      <c r="V10" s="212">
        <f>EVA!G10-Plán!G150</f>
        <v>432489.19256322691</v>
      </c>
      <c r="W10" s="212">
        <f>EVA!H10-Plán!H150</f>
        <v>465052.5808292568</v>
      </c>
      <c r="X10" s="212">
        <f>EVA!I10-Plán!I150</f>
        <v>514437.88889711606</v>
      </c>
      <c r="Y10" s="212">
        <f>EVA!J10-Plán!J150</f>
        <v>593234.42264612205</v>
      </c>
    </row>
    <row r="11" spans="1:28" ht="15.75" x14ac:dyDescent="0.3">
      <c r="A11" s="280" t="s">
        <v>855</v>
      </c>
      <c r="B11" s="280"/>
      <c r="C11" s="280"/>
      <c r="D11" s="280"/>
      <c r="E11" s="184"/>
      <c r="F11" s="212">
        <f>C4*E10</f>
        <v>48402.198900000003</v>
      </c>
      <c r="G11" s="212">
        <f>C4*F10</f>
        <v>55394.521221905758</v>
      </c>
      <c r="H11" s="212">
        <f>C4*G10</f>
        <v>58396.654063759466</v>
      </c>
      <c r="I11" s="212">
        <f>C4*H10</f>
        <v>61620.429502096427</v>
      </c>
      <c r="J11" s="212">
        <f>C4*I10</f>
        <v>66509.575000814497</v>
      </c>
      <c r="P11" s="280" t="s">
        <v>1177</v>
      </c>
      <c r="Q11" s="280"/>
      <c r="R11" s="280"/>
      <c r="S11" s="280"/>
      <c r="T11" s="184"/>
      <c r="U11" s="212">
        <f>R4*(U9/T10)</f>
        <v>1.996171354141256E-2</v>
      </c>
      <c r="V11" s="212">
        <f t="shared" ref="V11:Y11" si="1">S4*(V9/U10)</f>
        <v>0</v>
      </c>
      <c r="W11" s="212">
        <f t="shared" si="1"/>
        <v>0</v>
      </c>
      <c r="X11" s="212">
        <f t="shared" si="1"/>
        <v>0</v>
      </c>
      <c r="Y11" s="212">
        <f t="shared" si="1"/>
        <v>0</v>
      </c>
    </row>
    <row r="12" spans="1:28" x14ac:dyDescent="0.25">
      <c r="A12" s="325" t="s">
        <v>1173</v>
      </c>
      <c r="B12" s="325"/>
      <c r="C12" s="325"/>
      <c r="D12" s="325"/>
      <c r="E12" s="359"/>
      <c r="F12" s="336">
        <f>F9-F11</f>
        <v>9145.7027967266622</v>
      </c>
      <c r="G12" s="336">
        <f t="shared" ref="G12:J12" si="2">G9-G11</f>
        <v>7078.6557788885402</v>
      </c>
      <c r="H12" s="336">
        <f t="shared" si="2"/>
        <v>18722.887912553364</v>
      </c>
      <c r="I12" s="336">
        <f t="shared" si="2"/>
        <v>29080.002900576197</v>
      </c>
      <c r="J12" s="336">
        <f t="shared" si="2"/>
        <v>40345.024747633637</v>
      </c>
      <c r="P12" s="325" t="s">
        <v>1174</v>
      </c>
      <c r="Q12" s="325"/>
      <c r="R12" s="325"/>
      <c r="S12" s="325"/>
      <c r="T12" s="359"/>
      <c r="U12" s="336">
        <f>U9-U11</f>
        <v>57547.881735013121</v>
      </c>
      <c r="V12" s="336">
        <f t="shared" ref="V12:Y12" si="3">V9-V11</f>
        <v>62473.177000794298</v>
      </c>
      <c r="W12" s="336">
        <f t="shared" si="3"/>
        <v>77119.54197631283</v>
      </c>
      <c r="X12" s="336">
        <f t="shared" si="3"/>
        <v>90700.432402672624</v>
      </c>
      <c r="Y12" s="336">
        <f t="shared" si="3"/>
        <v>106854.59974844813</v>
      </c>
    </row>
    <row r="13" spans="1:28" x14ac:dyDescent="0.25">
      <c r="A13" s="333"/>
      <c r="P13" s="580"/>
    </row>
    <row r="14" spans="1:28" x14ac:dyDescent="0.25">
      <c r="A14" s="280" t="str">
        <f>'[1]22 DCF'!A35</f>
        <v>Odúročitel pro diskontní míru:</v>
      </c>
      <c r="B14" s="280"/>
      <c r="C14" s="280"/>
      <c r="D14" s="280"/>
      <c r="E14" s="356">
        <f>DCF!E39</f>
        <v>9.9000000000000005E-2</v>
      </c>
      <c r="F14" s="136">
        <f>DCF!F39</f>
        <v>0.90991810737033674</v>
      </c>
      <c r="G14" s="136">
        <f>DCF!G39</f>
        <v>0.82795096212041563</v>
      </c>
      <c r="H14" s="136">
        <f>DCF!H39</f>
        <v>0.75336757244805796</v>
      </c>
      <c r="I14" s="136">
        <f>DCF!I39</f>
        <v>0.68550279567612182</v>
      </c>
      <c r="J14" s="136">
        <f>DCF!J39</f>
        <v>0.62375140643869142</v>
      </c>
      <c r="P14" s="280" t="str">
        <f>A14</f>
        <v>Odúročitel pro diskontní míru:</v>
      </c>
      <c r="Q14" s="280"/>
      <c r="R14" s="280"/>
      <c r="S14" s="280"/>
      <c r="T14" s="356">
        <f>R4</f>
        <v>0.115</v>
      </c>
      <c r="U14" s="581">
        <f>1/(1+$R$4)^(U8-$T$8)</f>
        <v>0.89686098654708524</v>
      </c>
      <c r="V14" s="581">
        <f t="shared" ref="V14:Y14" si="4">1/(1+$R$4)^(V8-$T$8)</f>
        <v>0.80435962919021098</v>
      </c>
      <c r="W14" s="581">
        <f t="shared" si="4"/>
        <v>0.72139877057418023</v>
      </c>
      <c r="X14" s="581">
        <f t="shared" si="4"/>
        <v>0.64699441307101357</v>
      </c>
      <c r="Y14" s="581">
        <f t="shared" si="4"/>
        <v>0.58026404759732153</v>
      </c>
    </row>
    <row r="15" spans="1:28" x14ac:dyDescent="0.25">
      <c r="A15" s="332"/>
      <c r="P15" s="150"/>
    </row>
    <row r="16" spans="1:28" x14ac:dyDescent="0.25">
      <c r="A16" s="325" t="s">
        <v>1180</v>
      </c>
      <c r="B16" s="325"/>
      <c r="C16" s="325"/>
      <c r="D16" s="325"/>
      <c r="E16" s="325"/>
      <c r="F16" s="360">
        <f>F12*F14</f>
        <v>8321.84057936912</v>
      </c>
      <c r="G16" s="360">
        <f t="shared" ref="G16:J16" si="5">G12*G14</f>
        <v>5860.7798626500071</v>
      </c>
      <c r="H16" s="360">
        <f t="shared" si="5"/>
        <v>14105.216615897416</v>
      </c>
      <c r="I16" s="360">
        <f t="shared" si="5"/>
        <v>19934.423286614714</v>
      </c>
      <c r="J16" s="360">
        <f t="shared" si="5"/>
        <v>25165.265929140292</v>
      </c>
      <c r="P16" s="325" t="s">
        <v>1179</v>
      </c>
      <c r="Q16" s="325"/>
      <c r="R16" s="325"/>
      <c r="S16" s="325"/>
      <c r="T16" s="325"/>
      <c r="U16" s="360">
        <f>U12*U14</f>
        <v>51612.449986558859</v>
      </c>
      <c r="V16" s="360">
        <f t="shared" ref="V16:Y16" si="6">V12*V14</f>
        <v>50250.901486693321</v>
      </c>
      <c r="W16" s="360">
        <f t="shared" si="6"/>
        <v>55633.94276895596</v>
      </c>
      <c r="X16" s="360">
        <f t="shared" si="6"/>
        <v>58682.673027654317</v>
      </c>
      <c r="Y16" s="360">
        <f t="shared" si="6"/>
        <v>62003.882554426251</v>
      </c>
    </row>
    <row r="18" spans="1:28" x14ac:dyDescent="0.25">
      <c r="A18" s="324" t="s">
        <v>856</v>
      </c>
      <c r="B18" s="324"/>
      <c r="C18" s="324"/>
      <c r="D18" s="324"/>
      <c r="E18" s="324"/>
      <c r="F18" s="324"/>
      <c r="G18" s="324"/>
      <c r="H18" s="324"/>
      <c r="I18" s="324"/>
      <c r="J18" s="324"/>
      <c r="K18" s="324"/>
      <c r="L18" s="324"/>
      <c r="M18" s="324"/>
      <c r="P18" s="324" t="s">
        <v>856</v>
      </c>
      <c r="Q18" s="324"/>
      <c r="R18" s="324"/>
      <c r="S18" s="324"/>
      <c r="T18" s="324"/>
      <c r="U18" s="324"/>
      <c r="V18" s="324"/>
      <c r="W18" s="324"/>
      <c r="X18" s="324"/>
      <c r="Y18" s="324"/>
      <c r="Z18" s="324"/>
      <c r="AA18" s="324"/>
      <c r="AB18" s="324"/>
    </row>
    <row r="19" spans="1:28" x14ac:dyDescent="0.25">
      <c r="A19" s="355"/>
      <c r="P19" s="355"/>
    </row>
    <row r="20" spans="1:28" x14ac:dyDescent="0.25">
      <c r="A20" s="355"/>
      <c r="E20" s="323">
        <f>J8</f>
        <v>2021</v>
      </c>
      <c r="F20" s="321">
        <f>E20+1</f>
        <v>2022</v>
      </c>
      <c r="G20" s="322">
        <f>F20+1</f>
        <v>2023</v>
      </c>
      <c r="H20" s="322">
        <f>G20+1</f>
        <v>2024</v>
      </c>
      <c r="I20" s="154">
        <f>H20+1</f>
        <v>2025</v>
      </c>
      <c r="J20" s="322">
        <f>I20+1</f>
        <v>2026</v>
      </c>
      <c r="P20" s="355"/>
      <c r="T20" s="323">
        <f>Y8</f>
        <v>2021</v>
      </c>
      <c r="U20" s="321">
        <f>T20+1</f>
        <v>2022</v>
      </c>
      <c r="V20" s="322">
        <f>U20+1</f>
        <v>2023</v>
      </c>
      <c r="W20" s="322">
        <f>V20+1</f>
        <v>2024</v>
      </c>
      <c r="X20" s="154">
        <f>W20+1</f>
        <v>2025</v>
      </c>
      <c r="Y20" s="322">
        <f>X20+1</f>
        <v>2026</v>
      </c>
    </row>
    <row r="21" spans="1:28" x14ac:dyDescent="0.25">
      <c r="A21" s="280" t="s">
        <v>853</v>
      </c>
      <c r="B21" s="280"/>
      <c r="C21" s="280"/>
      <c r="D21" s="280"/>
      <c r="E21" s="358">
        <f>J9</f>
        <v>106854.59974844813</v>
      </c>
      <c r="F21" s="212">
        <f>DCF!F47</f>
        <v>110273.94694039848</v>
      </c>
      <c r="G21" s="212">
        <f>DCF!G47</f>
        <v>113582.16534861045</v>
      </c>
      <c r="H21" s="212">
        <f>DCF!H47</f>
        <v>116762.46597837155</v>
      </c>
      <c r="I21" s="212">
        <f>DCF!I47</f>
        <v>119681.52762783083</v>
      </c>
      <c r="J21" s="212">
        <f>DCF!J47</f>
        <v>122194.83970801526</v>
      </c>
      <c r="P21" s="280" t="s">
        <v>1175</v>
      </c>
      <c r="Q21" s="280"/>
      <c r="R21" s="280"/>
      <c r="S21" s="280"/>
      <c r="T21" s="358">
        <f>Y9</f>
        <v>106854.59974844813</v>
      </c>
      <c r="U21" s="212">
        <f>F21</f>
        <v>110273.94694039848</v>
      </c>
      <c r="V21" s="212">
        <f t="shared" ref="V21:Y21" si="7">G21</f>
        <v>113582.16534861045</v>
      </c>
      <c r="W21" s="212">
        <f t="shared" si="7"/>
        <v>116762.46597837155</v>
      </c>
      <c r="X21" s="212">
        <f t="shared" si="7"/>
        <v>119681.52762783083</v>
      </c>
      <c r="Y21" s="212">
        <f t="shared" si="7"/>
        <v>122194.83970801526</v>
      </c>
    </row>
    <row r="22" spans="1:28" x14ac:dyDescent="0.25">
      <c r="A22" s="280" t="s">
        <v>854</v>
      </c>
      <c r="B22" s="280"/>
      <c r="C22" s="280"/>
      <c r="D22" s="280"/>
      <c r="E22" s="358">
        <f>J10</f>
        <v>750610.42264612205</v>
      </c>
      <c r="F22" s="212">
        <f>DCF!F48</f>
        <v>774629.95617079793</v>
      </c>
      <c r="G22" s="212">
        <f>DCF!G48</f>
        <v>797868.85485592193</v>
      </c>
      <c r="H22" s="212">
        <f>DCF!H48</f>
        <v>820209.18279188778</v>
      </c>
      <c r="I22" s="212">
        <f>DCF!I48</f>
        <v>840714.41236168495</v>
      </c>
      <c r="J22" s="212">
        <f>DCF!J48</f>
        <v>858369.41502128029</v>
      </c>
      <c r="P22" s="280" t="s">
        <v>1176</v>
      </c>
      <c r="Q22" s="280"/>
      <c r="R22" s="280"/>
      <c r="S22" s="280"/>
      <c r="T22" s="358">
        <f>E22-Plán!$J$150</f>
        <v>593234.42264612205</v>
      </c>
      <c r="U22" s="212">
        <f>F22-Plán!$J$150</f>
        <v>617253.95617079793</v>
      </c>
      <c r="V22" s="212">
        <f>G22-Plán!$J$150</f>
        <v>640492.85485592193</v>
      </c>
      <c r="W22" s="212">
        <f>H22-Plán!$J$150</f>
        <v>662833.18279188778</v>
      </c>
      <c r="X22" s="212">
        <f>I22-Plán!$J$150</f>
        <v>683338.41236168495</v>
      </c>
      <c r="Y22" s="212">
        <f>J22-Plán!$J$150</f>
        <v>700993.41502128029</v>
      </c>
    </row>
    <row r="23" spans="1:28" ht="15.75" x14ac:dyDescent="0.3">
      <c r="A23" s="280" t="s">
        <v>855</v>
      </c>
      <c r="B23" s="280"/>
      <c r="C23" s="280"/>
      <c r="D23" s="280"/>
      <c r="E23" s="184"/>
      <c r="F23" s="296">
        <f>$C$4*E22</f>
        <v>74310.431841966085</v>
      </c>
      <c r="G23" s="296">
        <f t="shared" ref="G23:J23" si="8">$C$4*F22</f>
        <v>76688.365660908996</v>
      </c>
      <c r="H23" s="296">
        <f t="shared" si="8"/>
        <v>78989.016630736282</v>
      </c>
      <c r="I23" s="296">
        <f t="shared" si="8"/>
        <v>81200.709096396895</v>
      </c>
      <c r="J23" s="296">
        <f t="shared" si="8"/>
        <v>83230.726823806821</v>
      </c>
      <c r="P23" s="280" t="s">
        <v>1177</v>
      </c>
      <c r="Q23" s="280"/>
      <c r="R23" s="280"/>
      <c r="S23" s="280"/>
      <c r="T23" s="184"/>
      <c r="U23" s="296">
        <f>R4*(U21/U22)</f>
        <v>2.0545034618841353E-2</v>
      </c>
      <c r="V23" s="296">
        <f t="shared" ref="V23:Y23" si="9">S4*(V21/V22)</f>
        <v>0</v>
      </c>
      <c r="W23" s="296">
        <f t="shared" si="9"/>
        <v>0</v>
      </c>
      <c r="X23" s="296">
        <f t="shared" si="9"/>
        <v>0</v>
      </c>
      <c r="Y23" s="296">
        <f t="shared" si="9"/>
        <v>0</v>
      </c>
    </row>
    <row r="24" spans="1:28" x14ac:dyDescent="0.25">
      <c r="A24" s="325" t="s">
        <v>1173</v>
      </c>
      <c r="B24" s="280"/>
      <c r="C24" s="280"/>
      <c r="D24" s="280"/>
      <c r="E24" s="184"/>
      <c r="F24" s="336">
        <f>F21-F23</f>
        <v>35963.515098432399</v>
      </c>
      <c r="G24" s="336">
        <f t="shared" ref="G24:J24" si="10">G21-G23</f>
        <v>36893.799687701452</v>
      </c>
      <c r="H24" s="336">
        <f t="shared" si="10"/>
        <v>37773.449347635265</v>
      </c>
      <c r="I24" s="336">
        <f t="shared" si="10"/>
        <v>38480.818531433935</v>
      </c>
      <c r="J24" s="336">
        <f t="shared" si="10"/>
        <v>38964.112884208444</v>
      </c>
      <c r="P24" s="325" t="s">
        <v>1174</v>
      </c>
      <c r="Q24" s="280"/>
      <c r="R24" s="280"/>
      <c r="S24" s="280"/>
      <c r="T24" s="184"/>
      <c r="U24" s="336">
        <f>U21-U23</f>
        <v>110273.92639536386</v>
      </c>
      <c r="V24" s="336">
        <f t="shared" ref="V24:Y24" si="11">V21-V23</f>
        <v>113582.16534861045</v>
      </c>
      <c r="W24" s="336">
        <f t="shared" si="11"/>
        <v>116762.46597837155</v>
      </c>
      <c r="X24" s="336">
        <f t="shared" si="11"/>
        <v>119681.52762783083</v>
      </c>
      <c r="Y24" s="336">
        <f t="shared" si="11"/>
        <v>122194.83970801526</v>
      </c>
    </row>
    <row r="25" spans="1:28" x14ac:dyDescent="0.25">
      <c r="A25" s="333"/>
      <c r="P25" s="580"/>
    </row>
    <row r="26" spans="1:28" x14ac:dyDescent="0.25">
      <c r="A26" s="280" t="str">
        <f>A14</f>
        <v>Odúročitel pro diskontní míru:</v>
      </c>
      <c r="B26" s="280"/>
      <c r="C26" s="280"/>
      <c r="D26" s="280"/>
      <c r="E26" s="357">
        <f>E14</f>
        <v>9.9000000000000005E-2</v>
      </c>
      <c r="F26" s="136">
        <f>DCF!F52</f>
        <v>0.56756269921627978</v>
      </c>
      <c r="G26" s="136">
        <f>DCF!G52</f>
        <v>0.51643557708487697</v>
      </c>
      <c r="H26" s="136">
        <f>DCF!H52</f>
        <v>0.46991408287977882</v>
      </c>
      <c r="I26" s="136">
        <f>DCF!I52</f>
        <v>0.42758333292063588</v>
      </c>
      <c r="P26" s="280" t="str">
        <f>P14</f>
        <v>Odúročitel pro diskontní míru:</v>
      </c>
      <c r="Q26" s="280"/>
      <c r="R26" s="280"/>
      <c r="S26" s="280"/>
      <c r="T26" s="357">
        <f>T14</f>
        <v>0.115</v>
      </c>
      <c r="U26" s="581">
        <f>1/(1+$R$4)^(U20-$T$20)</f>
        <v>0.89686098654708524</v>
      </c>
      <c r="V26" s="581">
        <f>1/(1+$R$4)^(V20-$T$20)</f>
        <v>0.80435962919021098</v>
      </c>
      <c r="W26" s="581">
        <f t="shared" ref="W26:X26" si="12">1/(1+$R$4)^(W20-$T$20)</f>
        <v>0.72139877057418023</v>
      </c>
      <c r="X26" s="581">
        <f t="shared" si="12"/>
        <v>0.64699441307101357</v>
      </c>
    </row>
    <row r="27" spans="1:28" x14ac:dyDescent="0.25">
      <c r="A27" s="332"/>
      <c r="P27" s="150"/>
    </row>
    <row r="28" spans="1:28" x14ac:dyDescent="0.25">
      <c r="A28" s="325" t="s">
        <v>1180</v>
      </c>
      <c r="B28" s="325"/>
      <c r="C28" s="325"/>
      <c r="D28" s="325"/>
      <c r="E28" s="13"/>
      <c r="F28" s="297">
        <f>F24*F26</f>
        <v>20411.549702571723</v>
      </c>
      <c r="G28" s="297">
        <f t="shared" ref="G28:I28" si="13">G24*G26</f>
        <v>19053.270732571953</v>
      </c>
      <c r="H28" s="297">
        <f t="shared" si="13"/>
        <v>17750.275807399805</v>
      </c>
      <c r="I28" s="297">
        <f t="shared" si="13"/>
        <v>16453.756641184693</v>
      </c>
      <c r="P28" s="325" t="s">
        <v>1179</v>
      </c>
      <c r="Q28" s="325"/>
      <c r="R28" s="325"/>
      <c r="S28" s="325"/>
      <c r="T28" s="13"/>
      <c r="U28" s="297">
        <f>U24*U26</f>
        <v>98900.382417366694</v>
      </c>
      <c r="V28" s="297">
        <f t="shared" ref="V28:X28" si="14">V24*V26</f>
        <v>91360.90840242953</v>
      </c>
      <c r="W28" s="297">
        <f t="shared" si="14"/>
        <v>84232.299406006787</v>
      </c>
      <c r="X28" s="297">
        <f t="shared" si="14"/>
        <v>77433.27972301071</v>
      </c>
    </row>
    <row r="31" spans="1:28" x14ac:dyDescent="0.25">
      <c r="A31" s="324" t="s">
        <v>815</v>
      </c>
      <c r="B31" s="324"/>
      <c r="C31" s="324"/>
      <c r="D31" s="324"/>
      <c r="E31" s="324"/>
      <c r="F31" s="324"/>
      <c r="G31" s="324"/>
      <c r="H31" s="324"/>
      <c r="I31" s="324"/>
      <c r="J31" s="324"/>
      <c r="K31" s="324"/>
      <c r="L31" s="324"/>
      <c r="M31" s="324"/>
      <c r="P31" s="324" t="s">
        <v>815</v>
      </c>
      <c r="Q31" s="324"/>
      <c r="R31" s="324"/>
      <c r="S31" s="324"/>
      <c r="T31" s="324"/>
      <c r="U31" s="324"/>
      <c r="V31" s="324"/>
      <c r="W31" s="324"/>
      <c r="X31" s="324"/>
      <c r="Y31" s="324"/>
      <c r="Z31" s="324"/>
      <c r="AA31" s="324"/>
      <c r="AB31" s="324"/>
    </row>
    <row r="32" spans="1:28" s="83" customFormat="1" x14ac:dyDescent="0.25">
      <c r="A32" s="328"/>
      <c r="B32" s="328"/>
      <c r="C32" s="328"/>
      <c r="D32" s="328"/>
      <c r="E32" s="328"/>
      <c r="F32" s="328"/>
      <c r="G32" s="328"/>
      <c r="H32" s="328"/>
      <c r="I32" s="328"/>
      <c r="J32" s="328"/>
      <c r="K32" s="328"/>
      <c r="L32" s="328"/>
      <c r="M32" s="328"/>
      <c r="P32" s="328"/>
      <c r="Q32" s="328"/>
      <c r="R32" s="328"/>
      <c r="S32" s="328"/>
      <c r="T32" s="328"/>
      <c r="U32" s="328"/>
      <c r="V32" s="328"/>
      <c r="W32" s="328"/>
      <c r="X32" s="328"/>
      <c r="Y32" s="328"/>
      <c r="Z32" s="328"/>
      <c r="AA32" s="328"/>
      <c r="AB32" s="328"/>
    </row>
    <row r="33" spans="1:28" x14ac:dyDescent="0.25">
      <c r="A33" s="280" t="s">
        <v>816</v>
      </c>
      <c r="B33" s="280"/>
      <c r="C33" s="280"/>
      <c r="D33" s="280"/>
      <c r="E33" s="344">
        <f>DCF!E59</f>
        <v>2.1000000000000001E-2</v>
      </c>
      <c r="P33" s="280" t="s">
        <v>816</v>
      </c>
      <c r="Q33" s="280"/>
      <c r="R33" s="280"/>
      <c r="S33" s="280"/>
      <c r="T33" s="344">
        <f>E33</f>
        <v>2.1000000000000001E-2</v>
      </c>
    </row>
    <row r="35" spans="1:28" x14ac:dyDescent="0.25">
      <c r="A35" s="280" t="s">
        <v>815</v>
      </c>
      <c r="B35" s="280"/>
      <c r="C35" s="280"/>
      <c r="D35" s="280"/>
      <c r="E35" s="358">
        <f>J24/(C4-E33)</f>
        <v>499539.90877190314</v>
      </c>
      <c r="P35" s="280" t="s">
        <v>815</v>
      </c>
      <c r="Q35" s="280"/>
      <c r="R35" s="280"/>
      <c r="S35" s="280"/>
      <c r="T35" s="358">
        <f>Y24/(R4-T33)</f>
        <v>1299945.1032767582</v>
      </c>
    </row>
    <row r="37" spans="1:28" x14ac:dyDescent="0.25">
      <c r="A37" s="324" t="s">
        <v>823</v>
      </c>
      <c r="B37" s="324"/>
      <c r="C37" s="324"/>
      <c r="D37" s="324"/>
      <c r="E37" s="324"/>
      <c r="F37" s="324"/>
      <c r="G37" s="324"/>
      <c r="H37" s="324"/>
      <c r="I37" s="324"/>
      <c r="J37" s="324"/>
      <c r="K37" s="324"/>
      <c r="L37" s="324"/>
      <c r="M37" s="324"/>
      <c r="P37" s="324" t="s">
        <v>823</v>
      </c>
      <c r="Q37" s="324"/>
      <c r="R37" s="324"/>
      <c r="S37" s="324"/>
      <c r="T37" s="324"/>
      <c r="U37" s="324"/>
      <c r="V37" s="324"/>
      <c r="W37" s="324"/>
      <c r="X37" s="324"/>
      <c r="Y37" s="324"/>
      <c r="Z37" s="324"/>
      <c r="AA37" s="324"/>
      <c r="AB37" s="324"/>
    </row>
    <row r="38" spans="1:28" s="83" customFormat="1" x14ac:dyDescent="0.25">
      <c r="A38" s="328"/>
      <c r="B38" s="328"/>
      <c r="C38" s="328"/>
      <c r="D38" s="328"/>
      <c r="E38" s="328"/>
      <c r="F38" s="328"/>
      <c r="G38" s="328"/>
      <c r="H38" s="328"/>
      <c r="I38" s="328"/>
      <c r="J38" s="328"/>
      <c r="K38" s="328"/>
      <c r="L38" s="328"/>
      <c r="M38" s="328"/>
      <c r="P38" s="328"/>
      <c r="Q38" s="328"/>
      <c r="R38" s="328"/>
      <c r="S38" s="328"/>
      <c r="T38" s="328"/>
      <c r="U38" s="328"/>
      <c r="V38" s="328"/>
      <c r="W38" s="328"/>
      <c r="X38" s="328"/>
      <c r="Y38" s="328"/>
      <c r="Z38" s="328"/>
      <c r="AA38" s="328"/>
      <c r="AB38" s="328"/>
    </row>
    <row r="39" spans="1:28" x14ac:dyDescent="0.25">
      <c r="A39" s="280" t="s">
        <v>824</v>
      </c>
      <c r="B39" s="280"/>
      <c r="C39" s="280"/>
      <c r="D39" s="280"/>
      <c r="E39" s="345">
        <f>SUM(F16:J16)</f>
        <v>73387.526273671552</v>
      </c>
      <c r="P39" s="280" t="s">
        <v>824</v>
      </c>
      <c r="Q39" s="280"/>
      <c r="R39" s="280"/>
      <c r="S39" s="280"/>
      <c r="T39" s="536">
        <f>SUM(U16:Y16)</f>
        <v>278183.84982428869</v>
      </c>
    </row>
    <row r="40" spans="1:28" x14ac:dyDescent="0.25">
      <c r="A40" s="280" t="s">
        <v>857</v>
      </c>
      <c r="B40" s="280"/>
      <c r="C40" s="280"/>
      <c r="D40" s="280"/>
      <c r="E40" s="345">
        <f>SUM(F28:I28)</f>
        <v>73668.852883728163</v>
      </c>
      <c r="P40" s="280" t="s">
        <v>857</v>
      </c>
      <c r="Q40" s="280"/>
      <c r="R40" s="280"/>
      <c r="S40" s="280"/>
      <c r="T40" s="536">
        <f>SUM(U28:X28)</f>
        <v>351926.86994881369</v>
      </c>
    </row>
    <row r="41" spans="1:28" x14ac:dyDescent="0.25">
      <c r="A41" s="280" t="s">
        <v>826</v>
      </c>
      <c r="B41" s="280"/>
      <c r="C41" s="280"/>
      <c r="D41" s="280"/>
      <c r="E41" s="345">
        <f>E35*I26</f>
        <v>213594.93911956073</v>
      </c>
      <c r="P41" s="280" t="s">
        <v>826</v>
      </c>
      <c r="Q41" s="280"/>
      <c r="R41" s="280"/>
      <c r="S41" s="280"/>
      <c r="T41" s="536">
        <f>T35*X26</f>
        <v>841057.2191190843</v>
      </c>
    </row>
    <row r="42" spans="1:28" x14ac:dyDescent="0.25">
      <c r="A42" s="325" t="s">
        <v>858</v>
      </c>
      <c r="B42" s="280"/>
      <c r="C42" s="280"/>
      <c r="D42" s="280"/>
      <c r="E42" s="346">
        <f>SUM(E39:E41)</f>
        <v>360651.3182769604</v>
      </c>
      <c r="P42" s="325" t="s">
        <v>858</v>
      </c>
      <c r="Q42" s="280"/>
      <c r="R42" s="280"/>
      <c r="S42" s="280"/>
      <c r="T42" s="346">
        <f>SUM(T39:T41)</f>
        <v>1471167.9388921866</v>
      </c>
    </row>
    <row r="43" spans="1:28" x14ac:dyDescent="0.25">
      <c r="A43" s="280" t="s">
        <v>859</v>
      </c>
      <c r="B43" s="280"/>
      <c r="C43" s="280"/>
      <c r="D43" s="280"/>
      <c r="E43" s="345">
        <f>E10</f>
        <v>488911.1</v>
      </c>
      <c r="P43" s="280" t="s">
        <v>859</v>
      </c>
      <c r="Q43" s="280"/>
      <c r="R43" s="280"/>
      <c r="S43" s="280"/>
      <c r="T43" s="536">
        <f>T10</f>
        <v>331535.09999999998</v>
      </c>
    </row>
    <row r="44" spans="1:28" x14ac:dyDescent="0.25">
      <c r="A44" s="325" t="s">
        <v>827</v>
      </c>
      <c r="B44" s="280"/>
      <c r="C44" s="280"/>
      <c r="D44" s="280"/>
      <c r="E44" s="346">
        <f>E42+E43</f>
        <v>849562.41827696038</v>
      </c>
      <c r="P44" s="325" t="s">
        <v>827</v>
      </c>
      <c r="Q44" s="280"/>
      <c r="R44" s="280"/>
      <c r="S44" s="280"/>
      <c r="T44" s="346">
        <f>T42+T43</f>
        <v>1802703.0388921867</v>
      </c>
    </row>
    <row r="45" spans="1:28" x14ac:dyDescent="0.25">
      <c r="A45" s="280" t="s">
        <v>828</v>
      </c>
      <c r="B45" s="280"/>
      <c r="C45" s="280"/>
      <c r="D45" s="280"/>
      <c r="E45" s="345">
        <f>DCF!E74</f>
        <v>169890.6</v>
      </c>
      <c r="P45" s="280" t="s">
        <v>828</v>
      </c>
      <c r="Q45" s="280"/>
      <c r="R45" s="280"/>
      <c r="S45" s="280"/>
      <c r="T45" s="536">
        <f>E45</f>
        <v>169890.6</v>
      </c>
    </row>
    <row r="46" spans="1:28" x14ac:dyDescent="0.25">
      <c r="A46" s="325" t="s">
        <v>829</v>
      </c>
      <c r="B46" s="280"/>
      <c r="C46" s="280"/>
      <c r="D46" s="280"/>
      <c r="E46" s="361">
        <f>E44-E45</f>
        <v>679671.8182769604</v>
      </c>
      <c r="P46" s="325" t="s">
        <v>829</v>
      </c>
      <c r="Q46" s="280"/>
      <c r="R46" s="280"/>
      <c r="S46" s="280"/>
      <c r="T46" s="361">
        <f>T44-T45</f>
        <v>1632812.4388921866</v>
      </c>
    </row>
    <row r="47" spans="1:28" x14ac:dyDescent="0.25">
      <c r="A47" s="280" t="s">
        <v>830</v>
      </c>
      <c r="B47" s="280"/>
      <c r="C47" s="280"/>
      <c r="D47" s="280"/>
      <c r="E47" s="345">
        <f>DCF!E76</f>
        <v>26625.74</v>
      </c>
      <c r="P47" s="280" t="s">
        <v>830</v>
      </c>
      <c r="Q47" s="280"/>
      <c r="R47" s="280"/>
      <c r="S47" s="280"/>
      <c r="T47" s="536">
        <f>E47</f>
        <v>26625.74</v>
      </c>
    </row>
    <row r="48" spans="1:28" x14ac:dyDescent="0.25">
      <c r="A48" s="216" t="s">
        <v>860</v>
      </c>
      <c r="B48" s="216"/>
      <c r="C48" s="216"/>
      <c r="D48" s="216"/>
      <c r="E48" s="362">
        <f>E46+E47</f>
        <v>706297.55827696039</v>
      </c>
      <c r="P48" s="216" t="s">
        <v>860</v>
      </c>
      <c r="Q48" s="216"/>
      <c r="R48" s="216"/>
      <c r="S48" s="216"/>
      <c r="T48" s="362">
        <f>T46+T47</f>
        <v>1659438.1788921866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9ED70-85E5-441B-A765-FD611FE0E044}">
  <dimension ref="A1:G65"/>
  <sheetViews>
    <sheetView zoomScale="90" zoomScaleNormal="90" workbookViewId="0">
      <selection activeCell="B6" sqref="B6"/>
    </sheetView>
  </sheetViews>
  <sheetFormatPr defaultRowHeight="15" x14ac:dyDescent="0.25"/>
  <cols>
    <col min="1" max="1" width="6.140625" style="1" customWidth="1"/>
    <col min="2" max="2" width="43.42578125" style="1" customWidth="1"/>
    <col min="3" max="3" width="12.140625" style="29" customWidth="1"/>
    <col min="4" max="5" width="11.28515625" style="29" customWidth="1"/>
    <col min="6" max="6" width="11.28515625" style="29" bestFit="1" customWidth="1"/>
    <col min="7" max="7" width="11.140625" customWidth="1"/>
  </cols>
  <sheetData>
    <row r="1" spans="1:7" x14ac:dyDescent="0.25">
      <c r="A1" s="488"/>
      <c r="B1" s="807" t="s">
        <v>1516</v>
      </c>
      <c r="C1" s="489">
        <f>Rozvaha!C1</f>
        <v>2012</v>
      </c>
      <c r="D1" s="489">
        <f>Rozvaha!D1</f>
        <v>2013</v>
      </c>
      <c r="E1" s="489">
        <f>Rozvaha!E1</f>
        <v>2014</v>
      </c>
      <c r="F1" s="489">
        <f>Rozvaha!F1</f>
        <v>2015</v>
      </c>
      <c r="G1" s="489">
        <f>Rozvaha!G1</f>
        <v>2016</v>
      </c>
    </row>
    <row r="2" spans="1:7" x14ac:dyDescent="0.25">
      <c r="A2" s="27" t="s">
        <v>193</v>
      </c>
      <c r="B2" s="27" t="s">
        <v>194</v>
      </c>
      <c r="C2" s="30">
        <v>1439502</v>
      </c>
      <c r="D2" s="30">
        <v>1766930</v>
      </c>
      <c r="E2" s="30">
        <v>1831618</v>
      </c>
      <c r="F2" s="30">
        <v>1893492</v>
      </c>
      <c r="G2" s="30">
        <v>2054958</v>
      </c>
    </row>
    <row r="3" spans="1:7" x14ac:dyDescent="0.25">
      <c r="A3" s="27" t="s">
        <v>4</v>
      </c>
      <c r="B3" s="27" t="s">
        <v>195</v>
      </c>
      <c r="C3" s="30">
        <v>1214542</v>
      </c>
      <c r="D3" s="30">
        <v>1528764</v>
      </c>
      <c r="E3" s="30">
        <v>1591500</v>
      </c>
      <c r="F3" s="30">
        <v>1630740</v>
      </c>
      <c r="G3" s="30">
        <v>1771536</v>
      </c>
    </row>
    <row r="4" spans="1:7" x14ac:dyDescent="0.25">
      <c r="A4" s="35" t="s">
        <v>196</v>
      </c>
      <c r="B4" s="35" t="s">
        <v>197</v>
      </c>
      <c r="C4" s="36">
        <f>C2-C3</f>
        <v>224960</v>
      </c>
      <c r="D4" s="36">
        <f t="shared" ref="D4:G4" si="0">D2-D3</f>
        <v>238166</v>
      </c>
      <c r="E4" s="36">
        <f t="shared" si="0"/>
        <v>240118</v>
      </c>
      <c r="F4" s="36">
        <f t="shared" si="0"/>
        <v>262752</v>
      </c>
      <c r="G4" s="36">
        <f t="shared" si="0"/>
        <v>283422</v>
      </c>
    </row>
    <row r="5" spans="1:7" x14ac:dyDescent="0.25">
      <c r="A5" s="35" t="s">
        <v>198</v>
      </c>
      <c r="B5" s="35" t="s">
        <v>199</v>
      </c>
      <c r="C5" s="36">
        <f>SUM(C6:C8)</f>
        <v>0</v>
      </c>
      <c r="D5" s="36">
        <f t="shared" ref="D5:G5" si="1">SUM(D6:D8)</f>
        <v>0</v>
      </c>
      <c r="E5" s="36">
        <f t="shared" si="1"/>
        <v>0</v>
      </c>
      <c r="F5" s="36">
        <f t="shared" si="1"/>
        <v>0</v>
      </c>
      <c r="G5" s="36">
        <f t="shared" si="1"/>
        <v>0</v>
      </c>
    </row>
    <row r="6" spans="1:7" x14ac:dyDescent="0.25">
      <c r="A6" s="27" t="s">
        <v>200</v>
      </c>
      <c r="B6" s="27" t="s">
        <v>201</v>
      </c>
      <c r="C6" s="30"/>
      <c r="D6" s="30"/>
      <c r="E6" s="30"/>
      <c r="F6" s="30"/>
      <c r="G6" s="30"/>
    </row>
    <row r="7" spans="1:7" x14ac:dyDescent="0.25">
      <c r="A7" s="27" t="s">
        <v>202</v>
      </c>
      <c r="B7" s="27" t="s">
        <v>203</v>
      </c>
      <c r="C7" s="30"/>
      <c r="D7" s="30"/>
      <c r="E7" s="30"/>
      <c r="F7" s="30"/>
      <c r="G7" s="30"/>
    </row>
    <row r="8" spans="1:7" x14ac:dyDescent="0.25">
      <c r="A8" s="27" t="s">
        <v>204</v>
      </c>
      <c r="B8" s="27" t="s">
        <v>205</v>
      </c>
      <c r="C8" s="30"/>
      <c r="D8" s="30"/>
      <c r="E8" s="30"/>
      <c r="F8" s="30"/>
      <c r="G8" s="30"/>
    </row>
    <row r="9" spans="1:7" x14ac:dyDescent="0.25">
      <c r="A9" s="35" t="s">
        <v>5</v>
      </c>
      <c r="B9" s="35" t="s">
        <v>206</v>
      </c>
      <c r="C9" s="36">
        <f>SUM(C10:C11)</f>
        <v>29472</v>
      </c>
      <c r="D9" s="36">
        <f t="shared" ref="D9:G9" si="2">SUM(D10:D11)</f>
        <v>29061</v>
      </c>
      <c r="E9" s="36">
        <f t="shared" si="2"/>
        <v>25131</v>
      </c>
      <c r="F9" s="36">
        <f t="shared" si="2"/>
        <v>27811</v>
      </c>
      <c r="G9" s="36">
        <f t="shared" si="2"/>
        <v>31198</v>
      </c>
    </row>
    <row r="10" spans="1:7" x14ac:dyDescent="0.25">
      <c r="A10" s="27" t="s">
        <v>207</v>
      </c>
      <c r="B10" s="27" t="s">
        <v>208</v>
      </c>
      <c r="C10" s="30">
        <v>29472</v>
      </c>
      <c r="D10" s="30">
        <v>29061</v>
      </c>
      <c r="E10" s="30">
        <v>25131</v>
      </c>
      <c r="F10" s="30">
        <v>27811</v>
      </c>
      <c r="G10" s="30">
        <v>31198</v>
      </c>
    </row>
    <row r="11" spans="1:7" x14ac:dyDescent="0.25">
      <c r="A11" s="27" t="s">
        <v>209</v>
      </c>
      <c r="B11" s="27" t="s">
        <v>210</v>
      </c>
      <c r="C11" s="30"/>
      <c r="D11" s="30"/>
      <c r="E11" s="30"/>
      <c r="F11" s="30"/>
      <c r="G11" s="30"/>
    </row>
    <row r="12" spans="1:7" x14ac:dyDescent="0.25">
      <c r="A12" s="35" t="s">
        <v>196</v>
      </c>
      <c r="B12" s="35" t="s">
        <v>211</v>
      </c>
      <c r="C12" s="36">
        <f>C4+C5-C9</f>
        <v>195488</v>
      </c>
      <c r="D12" s="36">
        <f t="shared" ref="D12:G12" si="3">D4+D5-D9</f>
        <v>209105</v>
      </c>
      <c r="E12" s="36">
        <f t="shared" si="3"/>
        <v>214987</v>
      </c>
      <c r="F12" s="36">
        <f t="shared" si="3"/>
        <v>234941</v>
      </c>
      <c r="G12" s="36">
        <f t="shared" si="3"/>
        <v>252224</v>
      </c>
    </row>
    <row r="13" spans="1:7" x14ac:dyDescent="0.25">
      <c r="A13" s="35" t="s">
        <v>58</v>
      </c>
      <c r="B13" s="35" t="s">
        <v>212</v>
      </c>
      <c r="C13" s="36">
        <f>SUM(C14:C17)</f>
        <v>113854</v>
      </c>
      <c r="D13" s="36">
        <f t="shared" ref="D13:G13" si="4">SUM(D14:D17)</f>
        <v>118548</v>
      </c>
      <c r="E13" s="36">
        <f t="shared" si="4"/>
        <v>123054</v>
      </c>
      <c r="F13" s="36">
        <f t="shared" si="4"/>
        <v>125664</v>
      </c>
      <c r="G13" s="36">
        <f t="shared" si="4"/>
        <v>129686</v>
      </c>
    </row>
    <row r="14" spans="1:7" x14ac:dyDescent="0.25">
      <c r="A14" s="27" t="s">
        <v>213</v>
      </c>
      <c r="B14" s="27" t="s">
        <v>214</v>
      </c>
      <c r="C14" s="30">
        <v>84820</v>
      </c>
      <c r="D14" s="30">
        <v>88386</v>
      </c>
      <c r="E14" s="30">
        <v>91760</v>
      </c>
      <c r="F14" s="30">
        <v>93648</v>
      </c>
      <c r="G14" s="30">
        <v>96494</v>
      </c>
    </row>
    <row r="15" spans="1:7" x14ac:dyDescent="0.25">
      <c r="A15" s="27" t="s">
        <v>215</v>
      </c>
      <c r="B15" s="27" t="s">
        <v>216</v>
      </c>
      <c r="C15" s="30"/>
      <c r="D15" s="30"/>
      <c r="E15" s="30"/>
      <c r="F15" s="30"/>
      <c r="G15" s="30"/>
    </row>
    <row r="16" spans="1:7" x14ac:dyDescent="0.25">
      <c r="A16" s="27" t="s">
        <v>217</v>
      </c>
      <c r="B16" s="27" t="s">
        <v>218</v>
      </c>
      <c r="C16" s="30">
        <v>29034</v>
      </c>
      <c r="D16" s="30">
        <v>30162</v>
      </c>
      <c r="E16" s="30">
        <v>31294</v>
      </c>
      <c r="F16" s="30">
        <v>32016</v>
      </c>
      <c r="G16" s="30">
        <v>33192</v>
      </c>
    </row>
    <row r="17" spans="1:7" x14ac:dyDescent="0.25">
      <c r="A17" s="27" t="s">
        <v>219</v>
      </c>
      <c r="B17" s="27" t="s">
        <v>220</v>
      </c>
      <c r="C17" s="30"/>
      <c r="D17" s="30"/>
      <c r="E17" s="30"/>
      <c r="F17" s="30"/>
      <c r="G17" s="30"/>
    </row>
    <row r="18" spans="1:7" x14ac:dyDescent="0.25">
      <c r="A18" s="27" t="s">
        <v>221</v>
      </c>
      <c r="B18" s="27" t="s">
        <v>222</v>
      </c>
      <c r="C18" s="30">
        <v>5230</v>
      </c>
      <c r="D18" s="30">
        <v>4326</v>
      </c>
      <c r="E18" s="30">
        <v>5404</v>
      </c>
      <c r="F18" s="30">
        <v>6938</v>
      </c>
      <c r="G18" s="30">
        <v>4110</v>
      </c>
    </row>
    <row r="19" spans="1:7" x14ac:dyDescent="0.25">
      <c r="A19" s="27" t="s">
        <v>223</v>
      </c>
      <c r="B19" s="27" t="s">
        <v>224</v>
      </c>
      <c r="C19" s="30">
        <v>24292</v>
      </c>
      <c r="D19" s="30">
        <v>23096</v>
      </c>
      <c r="E19" s="30">
        <v>35640</v>
      </c>
      <c r="F19" s="30">
        <v>45310</v>
      </c>
      <c r="G19" s="30">
        <v>45372</v>
      </c>
    </row>
    <row r="20" spans="1:7" x14ac:dyDescent="0.25">
      <c r="A20" s="35" t="s">
        <v>225</v>
      </c>
      <c r="B20" s="35" t="s">
        <v>226</v>
      </c>
      <c r="C20" s="36">
        <f t="shared" ref="C20:G20" si="5">SUM(C21:C22)</f>
        <v>0</v>
      </c>
      <c r="D20" s="36">
        <f t="shared" si="5"/>
        <v>0</v>
      </c>
      <c r="E20" s="36">
        <f t="shared" si="5"/>
        <v>0</v>
      </c>
      <c r="F20" s="36">
        <f t="shared" si="5"/>
        <v>15370</v>
      </c>
      <c r="G20" s="36">
        <f t="shared" si="5"/>
        <v>0</v>
      </c>
    </row>
    <row r="21" spans="1:7" x14ac:dyDescent="0.25">
      <c r="A21" s="27" t="s">
        <v>227</v>
      </c>
      <c r="B21" s="27" t="s">
        <v>228</v>
      </c>
      <c r="C21" s="30">
        <v>0</v>
      </c>
      <c r="D21" s="30">
        <v>0</v>
      </c>
      <c r="E21" s="30">
        <v>0</v>
      </c>
      <c r="F21" s="30">
        <v>15370</v>
      </c>
      <c r="G21" s="30">
        <v>0</v>
      </c>
    </row>
    <row r="22" spans="1:7" x14ac:dyDescent="0.25">
      <c r="A22" s="27" t="s">
        <v>229</v>
      </c>
      <c r="B22" s="27" t="s">
        <v>230</v>
      </c>
      <c r="C22" s="30"/>
      <c r="D22" s="30"/>
      <c r="E22" s="30"/>
      <c r="F22" s="30"/>
      <c r="G22" s="30"/>
    </row>
    <row r="23" spans="1:7" x14ac:dyDescent="0.25">
      <c r="A23" s="35" t="s">
        <v>231</v>
      </c>
      <c r="B23" s="35" t="s">
        <v>232</v>
      </c>
      <c r="C23" s="36">
        <f>SUM(C24:C25)</f>
        <v>0</v>
      </c>
      <c r="D23" s="36">
        <f t="shared" ref="D23:G23" si="6">SUM(D24:D25)</f>
        <v>0</v>
      </c>
      <c r="E23" s="36">
        <f t="shared" si="6"/>
        <v>0</v>
      </c>
      <c r="F23" s="36">
        <f t="shared" si="6"/>
        <v>6656</v>
      </c>
      <c r="G23" s="36">
        <f t="shared" si="6"/>
        <v>0</v>
      </c>
    </row>
    <row r="24" spans="1:7" x14ac:dyDescent="0.25">
      <c r="A24" s="27" t="s">
        <v>233</v>
      </c>
      <c r="B24" s="27" t="s">
        <v>234</v>
      </c>
      <c r="C24" s="30">
        <v>0</v>
      </c>
      <c r="D24" s="30">
        <v>0</v>
      </c>
      <c r="E24" s="30">
        <v>0</v>
      </c>
      <c r="F24" s="30">
        <v>6656</v>
      </c>
      <c r="G24" s="30">
        <v>0</v>
      </c>
    </row>
    <row r="25" spans="1:7" x14ac:dyDescent="0.25">
      <c r="A25" s="27" t="s">
        <v>235</v>
      </c>
      <c r="B25" s="27" t="s">
        <v>236</v>
      </c>
      <c r="C25" s="30"/>
      <c r="D25" s="30"/>
      <c r="E25" s="30"/>
      <c r="F25" s="30"/>
      <c r="G25" s="30"/>
    </row>
    <row r="26" spans="1:7" x14ac:dyDescent="0.25">
      <c r="A26" s="27" t="s">
        <v>237</v>
      </c>
      <c r="B26" s="27" t="s">
        <v>238</v>
      </c>
      <c r="C26" s="30">
        <v>-606</v>
      </c>
      <c r="D26" s="30">
        <v>3810</v>
      </c>
      <c r="E26" s="30">
        <v>5604</v>
      </c>
      <c r="F26" s="30">
        <v>-5438</v>
      </c>
      <c r="G26" s="30">
        <v>1094</v>
      </c>
    </row>
    <row r="27" spans="1:7" x14ac:dyDescent="0.25">
      <c r="A27" s="27" t="s">
        <v>239</v>
      </c>
      <c r="B27" s="27" t="s">
        <v>240</v>
      </c>
      <c r="C27" s="30">
        <v>733</v>
      </c>
      <c r="D27" s="30">
        <v>548</v>
      </c>
      <c r="E27" s="30">
        <v>406</v>
      </c>
      <c r="F27" s="30">
        <v>102</v>
      </c>
      <c r="G27" s="30">
        <v>2833</v>
      </c>
    </row>
    <row r="28" spans="1:7" x14ac:dyDescent="0.25">
      <c r="A28" s="27" t="s">
        <v>241</v>
      </c>
      <c r="B28" s="27" t="s">
        <v>242</v>
      </c>
      <c r="C28" s="30">
        <v>95</v>
      </c>
      <c r="D28" s="30">
        <v>745</v>
      </c>
      <c r="E28" s="30">
        <v>8470</v>
      </c>
      <c r="F28" s="30">
        <v>4250</v>
      </c>
      <c r="G28" s="30">
        <v>380</v>
      </c>
    </row>
    <row r="29" spans="1:7" x14ac:dyDescent="0.25">
      <c r="A29" s="27" t="s">
        <v>243</v>
      </c>
      <c r="B29" s="27" t="s">
        <v>244</v>
      </c>
      <c r="C29" s="30"/>
      <c r="D29" s="30"/>
      <c r="E29" s="30"/>
      <c r="F29" s="30"/>
      <c r="G29" s="30"/>
    </row>
    <row r="30" spans="1:7" x14ac:dyDescent="0.25">
      <c r="A30" s="27" t="s">
        <v>193</v>
      </c>
      <c r="B30" s="27" t="s">
        <v>245</v>
      </c>
      <c r="C30" s="30"/>
      <c r="D30" s="30"/>
      <c r="E30" s="30"/>
      <c r="F30" s="30"/>
      <c r="G30" s="30"/>
    </row>
    <row r="31" spans="1:7" x14ac:dyDescent="0.25">
      <c r="A31" s="28" t="s">
        <v>246</v>
      </c>
      <c r="B31" s="28" t="s">
        <v>247</v>
      </c>
      <c r="C31" s="33">
        <f>C12-C13-C18-C19+C20-C23-C26+C27-C28+C29-C30</f>
        <v>53356</v>
      </c>
      <c r="D31" s="33">
        <f>D12-D13-D18-D19+D20-D23-D26+D27-D28+D29-D30</f>
        <v>59128</v>
      </c>
      <c r="E31" s="33">
        <f>E12-E13-E18-E19+E20-E23-E26+E27-E28+E29-E30</f>
        <v>37221</v>
      </c>
      <c r="F31" s="33">
        <f>F12-F13-F18-F19+F20-F23-F26+F27-F28+F29-F30</f>
        <v>67033</v>
      </c>
      <c r="G31" s="33">
        <f>G12-G13-G18-G19+G20-G23-G26+G27-G28+G29-G30</f>
        <v>74415</v>
      </c>
    </row>
    <row r="32" spans="1:7" x14ac:dyDescent="0.25">
      <c r="A32" s="27" t="s">
        <v>248</v>
      </c>
      <c r="B32" s="27" t="s">
        <v>249</v>
      </c>
      <c r="C32" s="30"/>
      <c r="D32" s="30"/>
      <c r="E32" s="30"/>
      <c r="F32" s="30"/>
      <c r="G32" s="30"/>
    </row>
    <row r="33" spans="1:7" x14ac:dyDescent="0.25">
      <c r="A33" s="27" t="s">
        <v>250</v>
      </c>
      <c r="B33" s="27" t="s">
        <v>251</v>
      </c>
      <c r="C33" s="30"/>
      <c r="D33" s="30"/>
      <c r="E33" s="30"/>
      <c r="F33" s="30"/>
      <c r="G33" s="30"/>
    </row>
    <row r="34" spans="1:7" x14ac:dyDescent="0.25">
      <c r="A34" s="35" t="s">
        <v>252</v>
      </c>
      <c r="B34" s="35" t="s">
        <v>253</v>
      </c>
      <c r="C34" s="36">
        <f>SUM(C35:C37)</f>
        <v>0</v>
      </c>
      <c r="D34" s="36">
        <f t="shared" ref="D34:G34" si="7">SUM(D35:D37)</f>
        <v>0</v>
      </c>
      <c r="E34" s="36">
        <f t="shared" si="7"/>
        <v>0</v>
      </c>
      <c r="F34" s="36">
        <f t="shared" si="7"/>
        <v>0</v>
      </c>
      <c r="G34" s="36">
        <f t="shared" si="7"/>
        <v>0</v>
      </c>
    </row>
    <row r="35" spans="1:7" x14ac:dyDescent="0.25">
      <c r="A35" s="27" t="s">
        <v>254</v>
      </c>
      <c r="B35" s="27" t="s">
        <v>255</v>
      </c>
      <c r="C35" s="30"/>
      <c r="D35" s="30"/>
      <c r="E35" s="30"/>
      <c r="F35" s="30"/>
      <c r="G35" s="30"/>
    </row>
    <row r="36" spans="1:7" x14ac:dyDescent="0.25">
      <c r="A36" s="27" t="s">
        <v>256</v>
      </c>
      <c r="B36" s="27" t="s">
        <v>257</v>
      </c>
      <c r="C36" s="30"/>
      <c r="D36" s="30"/>
      <c r="E36" s="30"/>
      <c r="F36" s="30"/>
      <c r="G36" s="30"/>
    </row>
    <row r="37" spans="1:7" x14ac:dyDescent="0.25">
      <c r="A37" s="27" t="s">
        <v>258</v>
      </c>
      <c r="B37" s="27" t="s">
        <v>259</v>
      </c>
      <c r="C37" s="30"/>
      <c r="D37" s="30"/>
      <c r="E37" s="30"/>
      <c r="F37" s="30"/>
      <c r="G37" s="30"/>
    </row>
    <row r="38" spans="1:7" x14ac:dyDescent="0.25">
      <c r="A38" s="27" t="s">
        <v>260</v>
      </c>
      <c r="B38" s="27" t="s">
        <v>261</v>
      </c>
      <c r="C38" s="30"/>
      <c r="D38" s="30"/>
      <c r="E38" s="30"/>
      <c r="F38" s="30"/>
      <c r="G38" s="30"/>
    </row>
    <row r="39" spans="1:7" x14ac:dyDescent="0.25">
      <c r="A39" s="27" t="s">
        <v>262</v>
      </c>
      <c r="B39" s="27" t="s">
        <v>263</v>
      </c>
      <c r="C39" s="30"/>
      <c r="D39" s="30"/>
      <c r="E39" s="30"/>
      <c r="F39" s="30"/>
      <c r="G39" s="30"/>
    </row>
    <row r="40" spans="1:7" x14ac:dyDescent="0.25">
      <c r="A40" s="27" t="s">
        <v>264</v>
      </c>
      <c r="B40" s="27" t="s">
        <v>265</v>
      </c>
      <c r="C40" s="30"/>
      <c r="D40" s="30"/>
      <c r="E40" s="30"/>
      <c r="F40" s="30"/>
      <c r="G40" s="30"/>
    </row>
    <row r="41" spans="1:7" x14ac:dyDescent="0.25">
      <c r="A41" s="27" t="s">
        <v>266</v>
      </c>
      <c r="B41" s="27" t="s">
        <v>267</v>
      </c>
      <c r="C41" s="30"/>
      <c r="D41" s="30"/>
      <c r="E41" s="30"/>
      <c r="F41" s="30"/>
      <c r="G41" s="30"/>
    </row>
    <row r="42" spans="1:7" x14ac:dyDescent="0.25">
      <c r="A42" s="27" t="s">
        <v>268</v>
      </c>
      <c r="B42" s="27" t="s">
        <v>269</v>
      </c>
      <c r="C42" s="30"/>
      <c r="D42" s="30"/>
      <c r="E42" s="30"/>
      <c r="F42" s="30"/>
      <c r="G42" s="30"/>
    </row>
    <row r="43" spans="1:7" x14ac:dyDescent="0.25">
      <c r="A43" s="27" t="s">
        <v>270</v>
      </c>
      <c r="B43" s="27" t="s">
        <v>271</v>
      </c>
      <c r="C43" s="30">
        <f>C44+C45</f>
        <v>209</v>
      </c>
      <c r="D43" s="30">
        <f t="shared" ref="D43:G43" si="8">D44+D45</f>
        <v>187</v>
      </c>
      <c r="E43" s="30">
        <f t="shared" si="8"/>
        <v>294</v>
      </c>
      <c r="F43" s="30">
        <f t="shared" si="8"/>
        <v>290</v>
      </c>
      <c r="G43" s="30">
        <f t="shared" si="8"/>
        <v>279</v>
      </c>
    </row>
    <row r="44" spans="1:7" x14ac:dyDescent="0.25">
      <c r="A44" s="27"/>
      <c r="B44" s="27" t="s">
        <v>595</v>
      </c>
      <c r="C44" s="30">
        <v>64</v>
      </c>
      <c r="D44" s="30">
        <v>64</v>
      </c>
      <c r="E44" s="30">
        <v>64</v>
      </c>
      <c r="F44" s="30">
        <v>64</v>
      </c>
      <c r="G44" s="30">
        <v>64</v>
      </c>
    </row>
    <row r="45" spans="1:7" x14ac:dyDescent="0.25">
      <c r="A45" s="27"/>
      <c r="B45" s="27" t="s">
        <v>596</v>
      </c>
      <c r="C45" s="30">
        <v>145</v>
      </c>
      <c r="D45" s="30">
        <v>123</v>
      </c>
      <c r="E45" s="30">
        <v>230</v>
      </c>
      <c r="F45" s="30">
        <v>226</v>
      </c>
      <c r="G45" s="30">
        <v>215</v>
      </c>
    </row>
    <row r="46" spans="1:7" x14ac:dyDescent="0.25">
      <c r="A46" s="27" t="s">
        <v>272</v>
      </c>
      <c r="B46" s="27" t="s">
        <v>273</v>
      </c>
      <c r="C46" s="30">
        <v>23068</v>
      </c>
      <c r="D46" s="30">
        <v>23562</v>
      </c>
      <c r="E46" s="30">
        <v>21468</v>
      </c>
      <c r="F46" s="30">
        <v>15658</v>
      </c>
      <c r="G46" s="30">
        <v>10536</v>
      </c>
    </row>
    <row r="47" spans="1:7" x14ac:dyDescent="0.25">
      <c r="A47" s="27" t="s">
        <v>274</v>
      </c>
      <c r="B47" s="27" t="s">
        <v>275</v>
      </c>
      <c r="C47" s="30"/>
      <c r="D47" s="30"/>
      <c r="E47" s="30"/>
      <c r="F47" s="30"/>
      <c r="G47" s="30"/>
    </row>
    <row r="48" spans="1:7" x14ac:dyDescent="0.25">
      <c r="A48" s="27" t="s">
        <v>276</v>
      </c>
      <c r="B48" s="27" t="s">
        <v>277</v>
      </c>
      <c r="C48" s="30"/>
      <c r="D48" s="30"/>
      <c r="E48" s="30"/>
      <c r="F48" s="30"/>
      <c r="G48" s="30"/>
    </row>
    <row r="49" spans="1:7" x14ac:dyDescent="0.25">
      <c r="A49" s="27" t="s">
        <v>278</v>
      </c>
      <c r="B49" s="27" t="s">
        <v>279</v>
      </c>
      <c r="C49" s="30"/>
      <c r="D49" s="30"/>
      <c r="E49" s="30"/>
      <c r="F49" s="30"/>
      <c r="G49" s="30"/>
    </row>
    <row r="50" spans="1:7" x14ac:dyDescent="0.25">
      <c r="A50" s="27" t="s">
        <v>280</v>
      </c>
      <c r="B50" s="27" t="s">
        <v>281</v>
      </c>
      <c r="C50" s="30"/>
      <c r="D50" s="30"/>
      <c r="E50" s="30"/>
      <c r="F50" s="30"/>
      <c r="G50" s="30"/>
    </row>
    <row r="51" spans="1:7" x14ac:dyDescent="0.25">
      <c r="A51" s="28" t="s">
        <v>246</v>
      </c>
      <c r="B51" s="28" t="s">
        <v>282</v>
      </c>
      <c r="C51" s="33">
        <f>C32-C33+C34+C38-C39+C40-C41-C42+C43-C46+C47-C48+C49-C50</f>
        <v>-22859</v>
      </c>
      <c r="D51" s="33">
        <f t="shared" ref="D51:G51" si="9">D32-D33+D34+D38-D39+D40-D41-D42+D43-D46+D47-D48+D49-D50</f>
        <v>-23375</v>
      </c>
      <c r="E51" s="33">
        <f t="shared" si="9"/>
        <v>-21174</v>
      </c>
      <c r="F51" s="33">
        <f t="shared" si="9"/>
        <v>-15368</v>
      </c>
      <c r="G51" s="33">
        <f t="shared" si="9"/>
        <v>-10257</v>
      </c>
    </row>
    <row r="52" spans="1:7" x14ac:dyDescent="0.25">
      <c r="A52" s="26" t="s">
        <v>283</v>
      </c>
      <c r="B52" s="26" t="s">
        <v>284</v>
      </c>
      <c r="C52" s="32">
        <f>SUM(C53:C54)</f>
        <v>5794</v>
      </c>
      <c r="D52" s="32">
        <f t="shared" ref="D52:G52" si="10">SUM(D53:D54)</f>
        <v>6793</v>
      </c>
      <c r="E52" s="32">
        <f t="shared" si="10"/>
        <v>3049</v>
      </c>
      <c r="F52" s="32">
        <f t="shared" si="10"/>
        <v>9816</v>
      </c>
      <c r="G52" s="32">
        <f t="shared" si="10"/>
        <v>12190</v>
      </c>
    </row>
    <row r="53" spans="1:7" x14ac:dyDescent="0.25">
      <c r="A53" s="27" t="s">
        <v>285</v>
      </c>
      <c r="B53" s="27" t="s">
        <v>286</v>
      </c>
      <c r="C53" s="30">
        <v>5794</v>
      </c>
      <c r="D53" s="30">
        <v>6793</v>
      </c>
      <c r="E53" s="30">
        <v>3049</v>
      </c>
      <c r="F53" s="30">
        <v>9816</v>
      </c>
      <c r="G53" s="30">
        <v>12190</v>
      </c>
    </row>
    <row r="54" spans="1:7" x14ac:dyDescent="0.25">
      <c r="A54" s="27" t="s">
        <v>287</v>
      </c>
      <c r="B54" s="27" t="s">
        <v>288</v>
      </c>
      <c r="C54" s="30"/>
      <c r="D54" s="30"/>
      <c r="E54" s="30"/>
      <c r="F54" s="30"/>
      <c r="G54" s="30"/>
    </row>
    <row r="55" spans="1:7" x14ac:dyDescent="0.25">
      <c r="A55" s="28" t="s">
        <v>289</v>
      </c>
      <c r="B55" s="28" t="s">
        <v>290</v>
      </c>
      <c r="C55" s="33">
        <f>C31+C51-C52</f>
        <v>24703</v>
      </c>
      <c r="D55" s="33">
        <f t="shared" ref="D55:G55" si="11">D31+D51-D52</f>
        <v>28960</v>
      </c>
      <c r="E55" s="33">
        <f t="shared" si="11"/>
        <v>12998</v>
      </c>
      <c r="F55" s="33">
        <f t="shared" si="11"/>
        <v>41849</v>
      </c>
      <c r="G55" s="33">
        <f t="shared" si="11"/>
        <v>51968</v>
      </c>
    </row>
    <row r="56" spans="1:7" x14ac:dyDescent="0.25">
      <c r="A56" s="27" t="s">
        <v>291</v>
      </c>
      <c r="B56" s="27" t="s">
        <v>292</v>
      </c>
      <c r="C56" s="30"/>
      <c r="D56" s="30">
        <v>0</v>
      </c>
      <c r="E56" s="30">
        <v>0</v>
      </c>
      <c r="F56" s="30">
        <v>0</v>
      </c>
      <c r="G56" s="30">
        <v>0</v>
      </c>
    </row>
    <row r="57" spans="1:7" x14ac:dyDescent="0.25">
      <c r="A57" s="27" t="s">
        <v>293</v>
      </c>
      <c r="B57" s="27" t="s">
        <v>294</v>
      </c>
      <c r="C57" s="30">
        <v>0</v>
      </c>
      <c r="D57" s="30">
        <v>0</v>
      </c>
      <c r="E57" s="30">
        <v>0</v>
      </c>
      <c r="F57" s="30">
        <v>0</v>
      </c>
      <c r="G57" s="30">
        <v>0</v>
      </c>
    </row>
    <row r="58" spans="1:7" x14ac:dyDescent="0.25">
      <c r="A58" s="26" t="s">
        <v>295</v>
      </c>
      <c r="B58" s="26" t="s">
        <v>296</v>
      </c>
      <c r="C58" s="36">
        <f>SUM(C59:C60)</f>
        <v>0</v>
      </c>
      <c r="D58" s="36">
        <f t="shared" ref="D58:G58" si="12">SUM(D59:D60)</f>
        <v>0</v>
      </c>
      <c r="E58" s="36">
        <f t="shared" si="12"/>
        <v>0</v>
      </c>
      <c r="F58" s="36">
        <f t="shared" si="12"/>
        <v>0</v>
      </c>
      <c r="G58" s="36">
        <f t="shared" si="12"/>
        <v>0</v>
      </c>
    </row>
    <row r="59" spans="1:7" x14ac:dyDescent="0.25">
      <c r="A59" s="27" t="s">
        <v>297</v>
      </c>
      <c r="B59" s="27" t="s">
        <v>298</v>
      </c>
      <c r="C59" s="30">
        <v>0</v>
      </c>
      <c r="D59" s="30">
        <v>0</v>
      </c>
      <c r="E59" s="30">
        <v>0</v>
      </c>
      <c r="F59" s="30">
        <v>0</v>
      </c>
      <c r="G59" s="30">
        <v>0</v>
      </c>
    </row>
    <row r="60" spans="1:7" x14ac:dyDescent="0.25">
      <c r="A60" s="27" t="s">
        <v>299</v>
      </c>
      <c r="B60" s="27" t="s">
        <v>300</v>
      </c>
      <c r="C60" s="30">
        <v>0</v>
      </c>
      <c r="D60" s="30">
        <v>0</v>
      </c>
      <c r="E60" s="30">
        <v>0</v>
      </c>
      <c r="F60" s="30">
        <v>0</v>
      </c>
      <c r="G60" s="30">
        <v>0</v>
      </c>
    </row>
    <row r="61" spans="1:7" x14ac:dyDescent="0.25">
      <c r="A61" s="28" t="s">
        <v>246</v>
      </c>
      <c r="B61" s="28" t="s">
        <v>301</v>
      </c>
      <c r="C61" s="33">
        <f>C56-C57-C58</f>
        <v>0</v>
      </c>
      <c r="D61" s="33">
        <f t="shared" ref="D61:G61" si="13">D56-D57-D58</f>
        <v>0</v>
      </c>
      <c r="E61" s="33">
        <f t="shared" si="13"/>
        <v>0</v>
      </c>
      <c r="F61" s="33">
        <f t="shared" si="13"/>
        <v>0</v>
      </c>
      <c r="G61" s="33">
        <f t="shared" si="13"/>
        <v>0</v>
      </c>
    </row>
    <row r="62" spans="1:7" x14ac:dyDescent="0.25">
      <c r="A62" s="27" t="s">
        <v>302</v>
      </c>
      <c r="B62" s="27" t="s">
        <v>303</v>
      </c>
      <c r="C62" s="30"/>
      <c r="D62" s="30"/>
      <c r="E62" s="30"/>
      <c r="F62" s="30"/>
      <c r="G62" s="30"/>
    </row>
    <row r="63" spans="1:7" x14ac:dyDescent="0.25">
      <c r="A63" s="38" t="s">
        <v>304</v>
      </c>
      <c r="B63" s="38" t="s">
        <v>305</v>
      </c>
      <c r="C63" s="39">
        <f>C55+C61</f>
        <v>24703</v>
      </c>
      <c r="D63" s="39">
        <f t="shared" ref="D63:G63" si="14">D55+D61</f>
        <v>28960</v>
      </c>
      <c r="E63" s="39">
        <f t="shared" si="14"/>
        <v>12998</v>
      </c>
      <c r="F63" s="39">
        <f t="shared" si="14"/>
        <v>41849</v>
      </c>
      <c r="G63" s="39">
        <f t="shared" si="14"/>
        <v>51968</v>
      </c>
    </row>
    <row r="64" spans="1:7" x14ac:dyDescent="0.25">
      <c r="A64" s="38"/>
      <c r="B64" s="38" t="s">
        <v>469</v>
      </c>
      <c r="C64" s="39">
        <f>C31+C51+C56-C57</f>
        <v>30497</v>
      </c>
      <c r="D64" s="39">
        <f t="shared" ref="D64:G64" si="15">D31+D51+D56-D57</f>
        <v>35753</v>
      </c>
      <c r="E64" s="39">
        <f t="shared" si="15"/>
        <v>16047</v>
      </c>
      <c r="F64" s="39">
        <f t="shared" si="15"/>
        <v>51665</v>
      </c>
      <c r="G64" s="39">
        <f t="shared" si="15"/>
        <v>64158</v>
      </c>
    </row>
    <row r="65" spans="1:7" x14ac:dyDescent="0.25">
      <c r="A65" s="28"/>
      <c r="B65" s="28" t="s">
        <v>470</v>
      </c>
      <c r="C65" s="33">
        <f>C2+C6+C27+C47</f>
        <v>1440235</v>
      </c>
      <c r="D65" s="33">
        <f>D2+D6+D27+D47</f>
        <v>1767478</v>
      </c>
      <c r="E65" s="33">
        <f>E2+E6+E27+E47</f>
        <v>1832024</v>
      </c>
      <c r="F65" s="33">
        <f>F2+F6+F27+F47</f>
        <v>1893594</v>
      </c>
      <c r="G65" s="33">
        <f>G2+G6+G27+G47</f>
        <v>2057791</v>
      </c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B2A4F-7367-42CD-BCBB-1A074641413D}">
  <dimension ref="A2:O39"/>
  <sheetViews>
    <sheetView topLeftCell="A25" zoomScale="90" zoomScaleNormal="90" workbookViewId="0">
      <selection activeCell="H26" sqref="H26"/>
    </sheetView>
  </sheetViews>
  <sheetFormatPr defaultRowHeight="15" x14ac:dyDescent="0.25"/>
  <cols>
    <col min="6" max="6" width="9" customWidth="1"/>
  </cols>
  <sheetData>
    <row r="2" spans="1:15" x14ac:dyDescent="0.25">
      <c r="A2" s="187" t="s">
        <v>861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</row>
    <row r="4" spans="1:15" x14ac:dyDescent="0.25">
      <c r="A4" s="214"/>
      <c r="F4" s="323">
        <f>Rozvaha!C1</f>
        <v>2012</v>
      </c>
      <c r="G4" s="323">
        <f>Rozvaha!D1</f>
        <v>2013</v>
      </c>
      <c r="H4" s="323">
        <f>Rozvaha!E1</f>
        <v>2014</v>
      </c>
      <c r="I4" s="323">
        <f>Rozvaha!F1</f>
        <v>2015</v>
      </c>
      <c r="J4" s="323">
        <f>Rozvaha!G1</f>
        <v>2016</v>
      </c>
    </row>
    <row r="5" spans="1:15" x14ac:dyDescent="0.25">
      <c r="A5" s="325" t="s">
        <v>469</v>
      </c>
      <c r="B5" s="325"/>
      <c r="C5" s="325"/>
      <c r="D5" s="325"/>
      <c r="E5" s="325"/>
      <c r="F5" s="466">
        <f>VZZ!C64</f>
        <v>30497</v>
      </c>
      <c r="G5" s="466">
        <f>VZZ!D64</f>
        <v>35753</v>
      </c>
      <c r="H5" s="466">
        <f>VZZ!E64</f>
        <v>16047</v>
      </c>
      <c r="I5" s="466">
        <f>VZZ!F64</f>
        <v>51665</v>
      </c>
      <c r="J5" s="466">
        <f>VZZ!G64</f>
        <v>64158</v>
      </c>
    </row>
    <row r="6" spans="1:15" x14ac:dyDescent="0.25">
      <c r="A6" s="280" t="s">
        <v>862</v>
      </c>
      <c r="B6" s="280"/>
      <c r="C6" s="280"/>
      <c r="D6" s="280"/>
      <c r="E6" s="280"/>
      <c r="F6" s="358">
        <f>VZZ!C19</f>
        <v>24292</v>
      </c>
      <c r="G6" s="358">
        <f>VZZ!D19</f>
        <v>23096</v>
      </c>
      <c r="H6" s="358">
        <f>VZZ!E19</f>
        <v>35640</v>
      </c>
      <c r="I6" s="358">
        <f>VZZ!F19</f>
        <v>45310</v>
      </c>
      <c r="J6" s="358">
        <f>VZZ!G19</f>
        <v>45372</v>
      </c>
    </row>
    <row r="7" spans="1:15" x14ac:dyDescent="0.25">
      <c r="A7" s="280" t="s">
        <v>863</v>
      </c>
      <c r="B7" s="280"/>
      <c r="C7" s="280"/>
      <c r="D7" s="280"/>
      <c r="E7" s="280"/>
      <c r="F7" s="358">
        <f>-(VZZ!C44+VZZ!C45)</f>
        <v>-209</v>
      </c>
      <c r="G7" s="358">
        <f>-(VZZ!D44+VZZ!D45)</f>
        <v>-187</v>
      </c>
      <c r="H7" s="358">
        <f>-(VZZ!E44+VZZ!E45)</f>
        <v>-294</v>
      </c>
      <c r="I7" s="358">
        <f>-(VZZ!F44+VZZ!F45)</f>
        <v>-290</v>
      </c>
      <c r="J7" s="358">
        <f>-(VZZ!G44+VZZ!G45)</f>
        <v>-279</v>
      </c>
    </row>
    <row r="8" spans="1:15" x14ac:dyDescent="0.25">
      <c r="A8" s="280" t="s">
        <v>987</v>
      </c>
      <c r="B8" s="280"/>
      <c r="C8" s="280"/>
      <c r="D8" s="280"/>
      <c r="E8" s="280"/>
      <c r="F8" s="358">
        <f>-VZZ!C21</f>
        <v>0</v>
      </c>
      <c r="G8" s="358">
        <f>-VZZ!D21</f>
        <v>0</v>
      </c>
      <c r="H8" s="358">
        <f>-VZZ!E21</f>
        <v>0</v>
      </c>
      <c r="I8" s="358">
        <f>-VZZ!F21</f>
        <v>-15370</v>
      </c>
      <c r="J8" s="358">
        <f>-VZZ!G21</f>
        <v>0</v>
      </c>
    </row>
    <row r="9" spans="1:15" x14ac:dyDescent="0.25">
      <c r="A9" s="280" t="s">
        <v>986</v>
      </c>
      <c r="B9" s="280"/>
      <c r="C9" s="280"/>
      <c r="D9" s="280"/>
      <c r="E9" s="280"/>
      <c r="F9" s="358">
        <f>VZZ!C23</f>
        <v>0</v>
      </c>
      <c r="G9" s="358">
        <f>VZZ!D23</f>
        <v>0</v>
      </c>
      <c r="H9" s="358">
        <f>VZZ!E23</f>
        <v>0</v>
      </c>
      <c r="I9" s="358">
        <f>VZZ!F23</f>
        <v>6656</v>
      </c>
      <c r="J9" s="358">
        <f>VZZ!G23</f>
        <v>0</v>
      </c>
    </row>
    <row r="10" spans="1:15" x14ac:dyDescent="0.25">
      <c r="A10" s="280" t="s">
        <v>864</v>
      </c>
      <c r="B10" s="280"/>
      <c r="C10" s="280"/>
      <c r="D10" s="280"/>
      <c r="E10" s="280"/>
      <c r="F10" s="358"/>
      <c r="G10" s="358"/>
      <c r="H10" s="358"/>
      <c r="I10" s="358">
        <v>2000</v>
      </c>
      <c r="J10" s="358"/>
    </row>
    <row r="11" spans="1:15" x14ac:dyDescent="0.25">
      <c r="A11" s="280" t="s">
        <v>865</v>
      </c>
      <c r="B11" s="280"/>
      <c r="C11" s="280"/>
      <c r="D11" s="280"/>
      <c r="E11" s="280"/>
      <c r="F11" s="358">
        <f>-VZZ!C27</f>
        <v>-733</v>
      </c>
      <c r="G11" s="358">
        <f>-VZZ!D27</f>
        <v>-548</v>
      </c>
      <c r="H11" s="358">
        <f>-VZZ!E27</f>
        <v>-406</v>
      </c>
      <c r="I11" s="358">
        <f>-VZZ!F27</f>
        <v>-102</v>
      </c>
      <c r="J11" s="358">
        <f>-VZZ!G27</f>
        <v>-2833</v>
      </c>
    </row>
    <row r="12" spans="1:15" x14ac:dyDescent="0.25">
      <c r="A12" s="280" t="s">
        <v>866</v>
      </c>
      <c r="B12" s="280"/>
      <c r="C12" s="280"/>
      <c r="D12" s="280"/>
      <c r="E12" s="280"/>
      <c r="F12" s="358">
        <f>VZZ!C28</f>
        <v>95</v>
      </c>
      <c r="G12" s="358">
        <f>VZZ!D28</f>
        <v>745</v>
      </c>
      <c r="H12" s="358">
        <f>VZZ!E28</f>
        <v>8470</v>
      </c>
      <c r="I12" s="358">
        <f>VZZ!F28</f>
        <v>4250</v>
      </c>
      <c r="J12" s="358">
        <f>VZZ!G28</f>
        <v>380</v>
      </c>
    </row>
    <row r="13" spans="1:15" x14ac:dyDescent="0.25">
      <c r="A13" s="325" t="s">
        <v>867</v>
      </c>
      <c r="B13" s="325"/>
      <c r="C13" s="325"/>
      <c r="D13" s="325"/>
      <c r="E13" s="325"/>
      <c r="F13" s="361">
        <f>SUM(F5:F12)</f>
        <v>53942</v>
      </c>
      <c r="G13" s="361">
        <f t="shared" ref="G13:J13" si="0">SUM(G5:G12)</f>
        <v>58859</v>
      </c>
      <c r="H13" s="361">
        <f t="shared" si="0"/>
        <v>59457</v>
      </c>
      <c r="I13" s="361">
        <f t="shared" si="0"/>
        <v>94119</v>
      </c>
      <c r="J13" s="361">
        <f t="shared" si="0"/>
        <v>106798</v>
      </c>
    </row>
    <row r="14" spans="1:15" x14ac:dyDescent="0.25">
      <c r="A14" s="280" t="s">
        <v>868</v>
      </c>
      <c r="B14" s="280"/>
      <c r="C14" s="280"/>
      <c r="D14" s="280"/>
      <c r="E14" s="280"/>
      <c r="F14" s="467">
        <f>'Vnější potenciál'!D23</f>
        <v>1.0329999999999999</v>
      </c>
      <c r="G14" s="467">
        <f>'Vnější potenciál'!D24</f>
        <v>1.014</v>
      </c>
      <c r="H14" s="467">
        <f>'Vnější potenciál'!D25</f>
        <v>1.004</v>
      </c>
      <c r="I14" s="467">
        <f>'Vnější potenciál'!D26</f>
        <v>1.0029999999999999</v>
      </c>
      <c r="J14" s="467">
        <f>'Vnější potenciál'!D27</f>
        <v>1.0049999999999999</v>
      </c>
    </row>
    <row r="15" spans="1:15" x14ac:dyDescent="0.25">
      <c r="A15" s="280" t="s">
        <v>869</v>
      </c>
      <c r="B15" s="280"/>
      <c r="C15" s="280"/>
      <c r="D15" s="280"/>
      <c r="E15" s="280"/>
      <c r="F15" s="467">
        <f>1/(G14*H14*I14*J14)</f>
        <v>0.97445398822224905</v>
      </c>
      <c r="G15" s="467">
        <f>1/(H14*I14*J14)</f>
        <v>0.98809634405736058</v>
      </c>
      <c r="H15" s="467">
        <f>1/(I14*J14)</f>
        <v>0.9920487294335899</v>
      </c>
      <c r="I15" s="467">
        <f>1/(J14)</f>
        <v>0.99502487562189068</v>
      </c>
      <c r="J15" s="467">
        <f>1</f>
        <v>1</v>
      </c>
    </row>
    <row r="16" spans="1:15" x14ac:dyDescent="0.25">
      <c r="A16" s="325" t="s">
        <v>870</v>
      </c>
      <c r="B16" s="325"/>
      <c r="C16" s="325"/>
      <c r="D16" s="325"/>
      <c r="E16" s="325"/>
      <c r="F16" s="466">
        <f>F13/F15</f>
        <v>55356.128305667269</v>
      </c>
      <c r="G16" s="466">
        <f t="shared" ref="G16:J16" si="1">G13/G15</f>
        <v>59568.077904539983</v>
      </c>
      <c r="H16" s="466">
        <f t="shared" si="1"/>
        <v>59933.54785499999</v>
      </c>
      <c r="I16" s="466">
        <f t="shared" si="1"/>
        <v>94589.594999999987</v>
      </c>
      <c r="J16" s="466">
        <f t="shared" si="1"/>
        <v>106798</v>
      </c>
    </row>
    <row r="17" spans="1:12" x14ac:dyDescent="0.25">
      <c r="A17" s="280" t="s">
        <v>871</v>
      </c>
      <c r="B17" s="280"/>
      <c r="C17" s="280"/>
      <c r="D17" s="280"/>
      <c r="E17" s="280"/>
      <c r="F17" s="358">
        <v>1</v>
      </c>
      <c r="G17" s="358">
        <v>2</v>
      </c>
      <c r="H17" s="358">
        <v>3</v>
      </c>
      <c r="I17" s="358">
        <v>4</v>
      </c>
      <c r="J17" s="358">
        <v>5</v>
      </c>
    </row>
    <row r="18" spans="1:12" x14ac:dyDescent="0.25">
      <c r="A18" s="280" t="s">
        <v>872</v>
      </c>
      <c r="B18" s="280"/>
      <c r="C18" s="280"/>
      <c r="D18" s="280"/>
      <c r="E18" s="280"/>
      <c r="F18" s="358">
        <f>F16*F17</f>
        <v>55356.128305667269</v>
      </c>
      <c r="G18" s="358">
        <f t="shared" ref="G18:J18" si="2">G16*G17</f>
        <v>119136.15580907997</v>
      </c>
      <c r="H18" s="358">
        <f t="shared" si="2"/>
        <v>179800.64356499998</v>
      </c>
      <c r="I18" s="358">
        <f t="shared" si="2"/>
        <v>378358.37999999995</v>
      </c>
      <c r="J18" s="358">
        <f t="shared" si="2"/>
        <v>533990</v>
      </c>
    </row>
    <row r="19" spans="1:12" x14ac:dyDescent="0.25">
      <c r="A19" s="280" t="s">
        <v>882</v>
      </c>
      <c r="B19" s="13"/>
      <c r="C19" s="13"/>
      <c r="D19" s="13"/>
      <c r="E19" s="13"/>
      <c r="F19" s="797">
        <f>SUM(F18:J18)</f>
        <v>1266641.3076797472</v>
      </c>
      <c r="G19" s="797"/>
      <c r="H19" s="797"/>
      <c r="I19" s="797"/>
      <c r="J19" s="797"/>
    </row>
    <row r="20" spans="1:12" x14ac:dyDescent="0.25">
      <c r="F20" s="185"/>
    </row>
    <row r="21" spans="1:12" x14ac:dyDescent="0.25">
      <c r="A21" s="280" t="s">
        <v>873</v>
      </c>
      <c r="B21" s="280"/>
      <c r="C21" s="280"/>
      <c r="D21" s="280"/>
      <c r="E21" s="280"/>
      <c r="F21" s="358">
        <f>F19/SUM(F17:J17)</f>
        <v>84442.753845316489</v>
      </c>
    </row>
    <row r="22" spans="1:12" x14ac:dyDescent="0.25">
      <c r="A22" s="280" t="s">
        <v>874</v>
      </c>
      <c r="B22" s="280"/>
      <c r="C22" s="280"/>
      <c r="D22" s="280"/>
      <c r="E22" s="280"/>
      <c r="F22" s="890">
        <v>52500</v>
      </c>
    </row>
    <row r="23" spans="1:12" x14ac:dyDescent="0.25">
      <c r="A23" s="325" t="s">
        <v>875</v>
      </c>
      <c r="B23" s="325"/>
      <c r="C23" s="325"/>
      <c r="D23" s="325"/>
      <c r="E23" s="325"/>
      <c r="F23" s="466">
        <f>F21-F22</f>
        <v>31942.753845316489</v>
      </c>
      <c r="G23" s="178"/>
      <c r="H23" s="178"/>
      <c r="I23" s="178"/>
      <c r="J23" s="178"/>
    </row>
    <row r="24" spans="1:12" x14ac:dyDescent="0.25">
      <c r="A24" s="280" t="s">
        <v>876</v>
      </c>
      <c r="B24" s="280"/>
      <c r="C24" s="280"/>
      <c r="D24" s="280"/>
      <c r="E24" s="280"/>
      <c r="F24" s="358">
        <f>F21-J6</f>
        <v>39070.753845316489</v>
      </c>
    </row>
    <row r="25" spans="1:12" x14ac:dyDescent="0.25">
      <c r="A25" s="280" t="str">
        <f>"Daň ("&amp;FIXED('[1]18 Plán'!F7*100,0)&amp;" %)"</f>
        <v>Daň (19 %)</v>
      </c>
      <c r="B25" s="280"/>
      <c r="C25" s="280"/>
      <c r="D25" s="280"/>
      <c r="E25" s="280"/>
      <c r="F25" s="358">
        <f>F24*Plán!E7</f>
        <v>7423.4432306101326</v>
      </c>
      <c r="G25" s="83"/>
      <c r="H25" s="83"/>
      <c r="I25" s="83"/>
      <c r="J25" s="83"/>
      <c r="K25" s="83"/>
      <c r="L25" s="83"/>
    </row>
    <row r="26" spans="1:12" x14ac:dyDescent="0.25">
      <c r="A26" s="363" t="s">
        <v>877</v>
      </c>
      <c r="B26" s="363"/>
      <c r="C26" s="363"/>
      <c r="D26" s="363"/>
      <c r="E26" s="363"/>
      <c r="F26" s="466">
        <f>F23-F25</f>
        <v>24519.310614706355</v>
      </c>
      <c r="G26" s="364"/>
      <c r="H26" s="364"/>
      <c r="I26" s="364"/>
      <c r="J26" s="364"/>
      <c r="K26" s="83"/>
      <c r="L26" s="83"/>
    </row>
    <row r="27" spans="1:12" x14ac:dyDescent="0.25">
      <c r="F27" s="185"/>
      <c r="G27" s="83"/>
      <c r="H27" s="83"/>
      <c r="I27" s="83"/>
      <c r="J27" s="83"/>
      <c r="K27" s="83"/>
      <c r="L27" s="83"/>
    </row>
    <row r="28" spans="1:12" x14ac:dyDescent="0.25">
      <c r="A28" s="280" t="s">
        <v>878</v>
      </c>
      <c r="B28" s="280"/>
      <c r="C28" s="280"/>
      <c r="D28" s="280"/>
      <c r="E28" s="280"/>
      <c r="F28" s="468">
        <v>0.02</v>
      </c>
      <c r="G28" s="83"/>
      <c r="H28" s="83"/>
      <c r="I28" s="83"/>
      <c r="J28" s="83"/>
      <c r="K28" s="83"/>
      <c r="L28" s="83"/>
    </row>
    <row r="29" spans="1:12" x14ac:dyDescent="0.25">
      <c r="A29" s="325" t="s">
        <v>988</v>
      </c>
      <c r="B29" s="325"/>
      <c r="C29" s="325"/>
      <c r="D29" s="325"/>
      <c r="E29" s="325"/>
      <c r="F29" s="470">
        <f>CAPM!H22-F28</f>
        <v>9.5000000000000001E-2</v>
      </c>
      <c r="G29" s="365"/>
      <c r="H29" s="365"/>
      <c r="I29" s="365"/>
      <c r="J29" s="365"/>
      <c r="K29" s="83"/>
      <c r="L29" s="83"/>
    </row>
    <row r="30" spans="1:12" x14ac:dyDescent="0.25">
      <c r="A30" s="141"/>
      <c r="F30" s="185"/>
      <c r="G30" s="83"/>
      <c r="H30" s="83"/>
      <c r="I30" s="83"/>
      <c r="J30" s="83"/>
      <c r="K30" s="83"/>
      <c r="L30" s="83"/>
    </row>
    <row r="31" spans="1:12" x14ac:dyDescent="0.25">
      <c r="A31" s="325" t="s">
        <v>879</v>
      </c>
      <c r="B31" s="325"/>
      <c r="C31" s="325"/>
      <c r="D31" s="325"/>
      <c r="E31" s="325"/>
      <c r="F31" s="466">
        <f>F26*(1-F28/(F29+F28))</f>
        <v>20255.082681713946</v>
      </c>
      <c r="G31" s="365"/>
      <c r="H31" s="365"/>
      <c r="I31" s="365"/>
      <c r="J31" s="365"/>
      <c r="K31" s="83"/>
      <c r="L31" s="83"/>
    </row>
    <row r="32" spans="1:12" x14ac:dyDescent="0.25">
      <c r="F32" s="185"/>
      <c r="G32" s="83"/>
      <c r="H32" s="83"/>
      <c r="I32" s="83"/>
      <c r="J32" s="83"/>
      <c r="K32" s="83"/>
      <c r="L32" s="83"/>
    </row>
    <row r="33" spans="1:12" x14ac:dyDescent="0.25">
      <c r="A33" s="325" t="s">
        <v>880</v>
      </c>
      <c r="B33" s="325"/>
      <c r="C33" s="325"/>
      <c r="D33" s="325"/>
      <c r="E33" s="325"/>
      <c r="F33" s="358">
        <f>F31/F29</f>
        <v>213211.39664962047</v>
      </c>
      <c r="G33" s="365"/>
      <c r="H33" s="365"/>
      <c r="I33" s="365"/>
      <c r="J33" s="365"/>
      <c r="K33" s="83"/>
      <c r="L33" s="83"/>
    </row>
    <row r="34" spans="1:12" x14ac:dyDescent="0.25">
      <c r="A34" s="280" t="s">
        <v>830</v>
      </c>
      <c r="B34" s="280"/>
      <c r="C34" s="280"/>
      <c r="D34" s="280"/>
      <c r="E34" s="280"/>
      <c r="F34" s="358">
        <f>DCF!E76</f>
        <v>26625.74</v>
      </c>
      <c r="G34" s="83"/>
      <c r="H34" s="83"/>
      <c r="I34" s="83"/>
      <c r="J34" s="83"/>
      <c r="K34" s="83"/>
      <c r="L34" s="83"/>
    </row>
    <row r="35" spans="1:12" x14ac:dyDescent="0.25">
      <c r="A35" s="216" t="s">
        <v>881</v>
      </c>
      <c r="B35" s="216"/>
      <c r="C35" s="216"/>
      <c r="D35" s="216"/>
      <c r="E35" s="216"/>
      <c r="F35" s="469">
        <f>F33+F34</f>
        <v>239837.13664962046</v>
      </c>
      <c r="G35" s="365"/>
      <c r="H35" s="365"/>
      <c r="I35" s="365"/>
      <c r="J35" s="365"/>
      <c r="K35" s="83"/>
      <c r="L35" s="83"/>
    </row>
    <row r="36" spans="1:12" x14ac:dyDescent="0.25">
      <c r="G36" s="83"/>
      <c r="H36" s="83"/>
      <c r="I36" s="83"/>
      <c r="J36" s="83"/>
      <c r="K36" s="83"/>
      <c r="L36" s="83"/>
    </row>
    <row r="37" spans="1:12" x14ac:dyDescent="0.25">
      <c r="G37" s="83"/>
      <c r="H37" s="83"/>
      <c r="I37" s="83"/>
      <c r="J37" s="83"/>
      <c r="K37" s="83"/>
      <c r="L37" s="83"/>
    </row>
    <row r="38" spans="1:12" x14ac:dyDescent="0.25">
      <c r="G38" s="83"/>
      <c r="H38" s="83"/>
      <c r="I38" s="83"/>
      <c r="J38" s="83"/>
      <c r="K38" s="83"/>
      <c r="L38" s="83"/>
    </row>
    <row r="39" spans="1:12" x14ac:dyDescent="0.25">
      <c r="G39" s="83"/>
      <c r="H39" s="83"/>
      <c r="I39" s="83"/>
      <c r="J39" s="83"/>
      <c r="K39" s="83"/>
      <c r="L39" s="83"/>
    </row>
  </sheetData>
  <mergeCells count="1">
    <mergeCell ref="F19:J19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6D431-E90A-40C8-ABEC-507ADA36646E}">
  <dimension ref="A2:J31"/>
  <sheetViews>
    <sheetView topLeftCell="A4" workbookViewId="0">
      <selection activeCell="H30" sqref="H30"/>
    </sheetView>
  </sheetViews>
  <sheetFormatPr defaultRowHeight="15" x14ac:dyDescent="0.25"/>
  <cols>
    <col min="1" max="1" width="21.140625" customWidth="1"/>
    <col min="2" max="2" width="21.5703125" customWidth="1"/>
    <col min="3" max="4" width="16" customWidth="1"/>
    <col min="5" max="5" width="13.5703125" customWidth="1"/>
    <col min="6" max="6" width="14.7109375" customWidth="1"/>
  </cols>
  <sheetData>
    <row r="2" spans="1:10" s="180" customFormat="1" x14ac:dyDescent="0.25">
      <c r="A2" s="187" t="s">
        <v>1193</v>
      </c>
      <c r="B2" s="187"/>
      <c r="C2" s="187"/>
      <c r="D2" s="187"/>
      <c r="E2" s="187"/>
      <c r="F2" s="187"/>
      <c r="G2" s="187"/>
      <c r="H2" s="187"/>
      <c r="I2" s="187"/>
      <c r="J2" s="187"/>
    </row>
    <row r="4" spans="1:10" x14ac:dyDescent="0.25">
      <c r="A4" s="582" t="s">
        <v>973</v>
      </c>
      <c r="B4" s="592">
        <f>Rozvaha!G69</f>
        <v>342904</v>
      </c>
    </row>
    <row r="7" spans="1:10" x14ac:dyDescent="0.25">
      <c r="A7" s="567" t="s">
        <v>1445</v>
      </c>
      <c r="C7" s="703">
        <v>0.1</v>
      </c>
      <c r="D7" s="703"/>
    </row>
    <row r="8" spans="1:10" ht="41.25" customHeight="1" x14ac:dyDescent="0.25">
      <c r="A8" s="629" t="s">
        <v>1181</v>
      </c>
      <c r="B8" s="629" t="s">
        <v>1425</v>
      </c>
      <c r="C8" s="629" t="s">
        <v>1426</v>
      </c>
      <c r="D8" s="629" t="s">
        <v>1451</v>
      </c>
      <c r="E8" s="629" t="s">
        <v>1446</v>
      </c>
      <c r="F8" s="629" t="s">
        <v>1447</v>
      </c>
    </row>
    <row r="9" spans="1:10" x14ac:dyDescent="0.25">
      <c r="A9" s="589" t="s">
        <v>1427</v>
      </c>
      <c r="B9" s="706">
        <v>20000</v>
      </c>
      <c r="C9" s="589">
        <v>2016</v>
      </c>
      <c r="D9" s="589">
        <f>$C$30-C9</f>
        <v>4</v>
      </c>
      <c r="E9" s="704">
        <f>1-(D9*$C$7)</f>
        <v>0.6</v>
      </c>
      <c r="F9" s="707">
        <v>12000</v>
      </c>
    </row>
    <row r="10" spans="1:10" x14ac:dyDescent="0.25">
      <c r="A10" s="589" t="s">
        <v>1428</v>
      </c>
      <c r="B10" s="706">
        <v>4400</v>
      </c>
      <c r="C10" s="589">
        <v>2016</v>
      </c>
      <c r="D10" s="589">
        <f t="shared" ref="D10:D29" si="0">$C$30-C10</f>
        <v>4</v>
      </c>
      <c r="E10" s="704">
        <f t="shared" ref="E10:E29" si="1">1-(D10*$C$7)</f>
        <v>0.6</v>
      </c>
      <c r="F10" s="707">
        <v>2640</v>
      </c>
    </row>
    <row r="11" spans="1:10" x14ac:dyDescent="0.25">
      <c r="A11" s="589" t="s">
        <v>1429</v>
      </c>
      <c r="B11" s="706">
        <v>1600</v>
      </c>
      <c r="C11" s="589">
        <v>2016</v>
      </c>
      <c r="D11" s="589">
        <f t="shared" si="0"/>
        <v>4</v>
      </c>
      <c r="E11" s="704">
        <f t="shared" si="1"/>
        <v>0.6</v>
      </c>
      <c r="F11" s="707">
        <v>960</v>
      </c>
    </row>
    <row r="12" spans="1:10" x14ac:dyDescent="0.25">
      <c r="A12" s="589" t="s">
        <v>1430</v>
      </c>
      <c r="B12" s="706">
        <v>7000</v>
      </c>
      <c r="C12" s="589">
        <v>2016</v>
      </c>
      <c r="D12" s="589">
        <f t="shared" si="0"/>
        <v>4</v>
      </c>
      <c r="E12" s="704">
        <f t="shared" si="1"/>
        <v>0.6</v>
      </c>
      <c r="F12" s="707">
        <v>4200</v>
      </c>
    </row>
    <row r="13" spans="1:10" x14ac:dyDescent="0.25">
      <c r="A13" s="589" t="s">
        <v>1431</v>
      </c>
      <c r="B13" s="706">
        <v>500</v>
      </c>
      <c r="C13" s="589">
        <v>2016</v>
      </c>
      <c r="D13" s="589">
        <f t="shared" si="0"/>
        <v>4</v>
      </c>
      <c r="E13" s="704">
        <f t="shared" si="1"/>
        <v>0.6</v>
      </c>
      <c r="F13" s="707">
        <v>300</v>
      </c>
    </row>
    <row r="14" spans="1:10" x14ac:dyDescent="0.25">
      <c r="A14" s="589" t="s">
        <v>1432</v>
      </c>
      <c r="B14" s="706">
        <v>3000</v>
      </c>
      <c r="C14" s="589">
        <v>2016</v>
      </c>
      <c r="D14" s="589">
        <f t="shared" si="0"/>
        <v>4</v>
      </c>
      <c r="E14" s="704">
        <f t="shared" si="1"/>
        <v>0.6</v>
      </c>
      <c r="F14" s="707">
        <v>1800</v>
      </c>
    </row>
    <row r="15" spans="1:10" x14ac:dyDescent="0.25">
      <c r="A15" s="589" t="s">
        <v>1433</v>
      </c>
      <c r="B15" s="706">
        <v>9500</v>
      </c>
      <c r="C15" s="589">
        <v>2016</v>
      </c>
      <c r="D15" s="589">
        <f t="shared" si="0"/>
        <v>4</v>
      </c>
      <c r="E15" s="704">
        <f t="shared" si="1"/>
        <v>0.6</v>
      </c>
      <c r="F15" s="707">
        <v>5700</v>
      </c>
    </row>
    <row r="16" spans="1:10" x14ac:dyDescent="0.25">
      <c r="A16" s="589" t="s">
        <v>1434</v>
      </c>
      <c r="B16" s="706">
        <v>2000</v>
      </c>
      <c r="C16" s="589">
        <v>2016</v>
      </c>
      <c r="D16" s="589">
        <f t="shared" si="0"/>
        <v>4</v>
      </c>
      <c r="E16" s="704">
        <f t="shared" si="1"/>
        <v>0.6</v>
      </c>
      <c r="F16" s="707">
        <v>1200</v>
      </c>
    </row>
    <row r="17" spans="1:8" x14ac:dyDescent="0.25">
      <c r="A17" s="589" t="s">
        <v>1435</v>
      </c>
      <c r="B17" s="706">
        <v>10000</v>
      </c>
      <c r="C17" s="589">
        <v>2016</v>
      </c>
      <c r="D17" s="589">
        <f t="shared" si="0"/>
        <v>4</v>
      </c>
      <c r="E17" s="704">
        <f t="shared" si="1"/>
        <v>0.6</v>
      </c>
      <c r="F17" s="707">
        <v>6000</v>
      </c>
    </row>
    <row r="18" spans="1:8" x14ac:dyDescent="0.25">
      <c r="A18" s="589" t="s">
        <v>1436</v>
      </c>
      <c r="B18" s="706">
        <v>26000</v>
      </c>
      <c r="C18" s="589">
        <v>2017</v>
      </c>
      <c r="D18" s="589">
        <f t="shared" si="0"/>
        <v>3</v>
      </c>
      <c r="E18" s="704">
        <f t="shared" si="1"/>
        <v>0.7</v>
      </c>
      <c r="F18" s="707">
        <v>18200</v>
      </c>
    </row>
    <row r="19" spans="1:8" x14ac:dyDescent="0.25">
      <c r="A19" s="589" t="s">
        <v>1437</v>
      </c>
      <c r="B19" s="706">
        <v>25000</v>
      </c>
      <c r="C19" s="589">
        <v>2018</v>
      </c>
      <c r="D19" s="589">
        <f t="shared" si="0"/>
        <v>2</v>
      </c>
      <c r="E19" s="704">
        <f t="shared" si="1"/>
        <v>0.8</v>
      </c>
      <c r="F19" s="707">
        <v>20000</v>
      </c>
    </row>
    <row r="20" spans="1:8" x14ac:dyDescent="0.25">
      <c r="A20" s="589" t="s">
        <v>1438</v>
      </c>
      <c r="B20" s="706">
        <v>1000</v>
      </c>
      <c r="C20" s="589">
        <v>2018</v>
      </c>
      <c r="D20" s="589">
        <f t="shared" si="0"/>
        <v>2</v>
      </c>
      <c r="E20" s="704">
        <f t="shared" si="1"/>
        <v>0.8</v>
      </c>
      <c r="F20" s="707">
        <v>800</v>
      </c>
    </row>
    <row r="21" spans="1:8" x14ac:dyDescent="0.25">
      <c r="A21" s="589" t="s">
        <v>1429</v>
      </c>
      <c r="B21" s="706">
        <v>1700</v>
      </c>
      <c r="C21" s="589">
        <v>2017</v>
      </c>
      <c r="D21" s="589">
        <f t="shared" si="0"/>
        <v>3</v>
      </c>
      <c r="E21" s="704">
        <f t="shared" si="1"/>
        <v>0.7</v>
      </c>
      <c r="F21" s="707">
        <v>1190</v>
      </c>
    </row>
    <row r="22" spans="1:8" x14ac:dyDescent="0.25">
      <c r="A22" s="589" t="s">
        <v>1428</v>
      </c>
      <c r="B22" s="706">
        <v>4200</v>
      </c>
      <c r="C22" s="589">
        <v>2017</v>
      </c>
      <c r="D22" s="589">
        <f t="shared" si="0"/>
        <v>3</v>
      </c>
      <c r="E22" s="704">
        <f t="shared" si="1"/>
        <v>0.7</v>
      </c>
      <c r="F22" s="707" t="s">
        <v>1448</v>
      </c>
    </row>
    <row r="23" spans="1:8" x14ac:dyDescent="0.25">
      <c r="A23" s="589" t="s">
        <v>1439</v>
      </c>
      <c r="B23" s="706">
        <v>4000</v>
      </c>
      <c r="C23" s="589">
        <v>2018</v>
      </c>
      <c r="D23" s="589">
        <f t="shared" si="0"/>
        <v>2</v>
      </c>
      <c r="E23" s="704">
        <f t="shared" si="1"/>
        <v>0.8</v>
      </c>
      <c r="F23" s="707">
        <v>3200</v>
      </c>
    </row>
    <row r="24" spans="1:8" x14ac:dyDescent="0.25">
      <c r="A24" s="589" t="s">
        <v>1435</v>
      </c>
      <c r="B24" s="706">
        <v>8500</v>
      </c>
      <c r="C24" s="589">
        <v>2017</v>
      </c>
      <c r="D24" s="589">
        <f t="shared" si="0"/>
        <v>3</v>
      </c>
      <c r="E24" s="704">
        <f t="shared" si="1"/>
        <v>0.7</v>
      </c>
      <c r="F24" s="707">
        <v>5950</v>
      </c>
    </row>
    <row r="25" spans="1:8" x14ac:dyDescent="0.25">
      <c r="A25" s="589" t="s">
        <v>1440</v>
      </c>
      <c r="B25" s="706">
        <v>3000</v>
      </c>
      <c r="C25" s="589">
        <v>2019</v>
      </c>
      <c r="D25" s="589">
        <f t="shared" si="0"/>
        <v>1</v>
      </c>
      <c r="E25" s="704">
        <f t="shared" si="1"/>
        <v>0.9</v>
      </c>
      <c r="F25" s="707">
        <v>2700</v>
      </c>
    </row>
    <row r="26" spans="1:8" x14ac:dyDescent="0.25">
      <c r="A26" s="589" t="s">
        <v>1441</v>
      </c>
      <c r="B26" s="706">
        <v>12500</v>
      </c>
      <c r="C26" s="589">
        <v>2019</v>
      </c>
      <c r="D26" s="589">
        <f t="shared" si="0"/>
        <v>1</v>
      </c>
      <c r="E26" s="704">
        <f t="shared" si="1"/>
        <v>0.9</v>
      </c>
      <c r="F26" s="707">
        <v>11250</v>
      </c>
    </row>
    <row r="27" spans="1:8" x14ac:dyDescent="0.25">
      <c r="A27" s="589" t="s">
        <v>1442</v>
      </c>
      <c r="B27" s="706">
        <v>6500</v>
      </c>
      <c r="C27" s="589">
        <v>2019</v>
      </c>
      <c r="D27" s="589">
        <f t="shared" si="0"/>
        <v>1</v>
      </c>
      <c r="E27" s="704">
        <f t="shared" si="1"/>
        <v>0.9</v>
      </c>
      <c r="F27" s="707" t="s">
        <v>1449</v>
      </c>
    </row>
    <row r="28" spans="1:8" x14ac:dyDescent="0.25">
      <c r="A28" s="589" t="s">
        <v>1443</v>
      </c>
      <c r="B28" s="706">
        <v>15000</v>
      </c>
      <c r="C28" s="589">
        <v>2019</v>
      </c>
      <c r="D28" s="589">
        <f t="shared" si="0"/>
        <v>1</v>
      </c>
      <c r="E28" s="704">
        <f t="shared" si="1"/>
        <v>0.9</v>
      </c>
      <c r="F28" s="707">
        <v>13500</v>
      </c>
    </row>
    <row r="29" spans="1:8" x14ac:dyDescent="0.25">
      <c r="A29" s="589" t="s">
        <v>1444</v>
      </c>
      <c r="B29" s="706">
        <v>4800</v>
      </c>
      <c r="C29" s="589">
        <v>2019</v>
      </c>
      <c r="D29" s="589">
        <f t="shared" si="0"/>
        <v>1</v>
      </c>
      <c r="E29" s="704">
        <f t="shared" si="1"/>
        <v>0.9</v>
      </c>
      <c r="F29" s="707">
        <v>4320</v>
      </c>
    </row>
    <row r="30" spans="1:8" x14ac:dyDescent="0.25">
      <c r="A30" s="798" t="s">
        <v>1450</v>
      </c>
      <c r="B30" s="799"/>
      <c r="C30" s="705">
        <v>2020</v>
      </c>
      <c r="D30" s="629"/>
      <c r="E30" s="629"/>
      <c r="F30" s="708">
        <f>SUM(F9:F29)</f>
        <v>115910</v>
      </c>
      <c r="H30" s="709"/>
    </row>
    <row r="31" spans="1:8" x14ac:dyDescent="0.25">
      <c r="A31" s="685"/>
    </row>
  </sheetData>
  <mergeCells count="1">
    <mergeCell ref="A30:B30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683F0-4F45-469E-B200-E3A194F29A7E}">
  <dimension ref="A2:H46"/>
  <sheetViews>
    <sheetView topLeftCell="A28" workbookViewId="0">
      <selection activeCell="B51" sqref="B51"/>
    </sheetView>
  </sheetViews>
  <sheetFormatPr defaultRowHeight="15" x14ac:dyDescent="0.25"/>
  <cols>
    <col min="1" max="1" width="46.42578125" customWidth="1"/>
    <col min="2" max="2" width="30.140625" customWidth="1"/>
    <col min="3" max="4" width="11" bestFit="1" customWidth="1"/>
    <col min="5" max="5" width="12.42578125" customWidth="1"/>
    <col min="7" max="7" width="13.140625" customWidth="1"/>
  </cols>
  <sheetData>
    <row r="2" spans="1:8" x14ac:dyDescent="0.25">
      <c r="A2" s="187" t="s">
        <v>1225</v>
      </c>
      <c r="B2" s="187"/>
      <c r="C2" s="187"/>
      <c r="D2" s="187"/>
      <c r="E2" s="187"/>
      <c r="F2" s="187"/>
      <c r="G2" s="187"/>
      <c r="H2" s="187"/>
    </row>
    <row r="3" spans="1:8" x14ac:dyDescent="0.25">
      <c r="A3" s="582" t="s">
        <v>1181</v>
      </c>
      <c r="B3" s="582" t="s">
        <v>1182</v>
      </c>
    </row>
    <row r="4" spans="1:8" x14ac:dyDescent="0.25">
      <c r="A4" s="583" t="s">
        <v>1183</v>
      </c>
      <c r="B4" s="590">
        <v>500000</v>
      </c>
      <c r="C4" s="593" t="s">
        <v>1223</v>
      </c>
      <c r="D4" s="594"/>
      <c r="E4" s="594"/>
      <c r="F4" s="594"/>
      <c r="G4" s="594"/>
    </row>
    <row r="5" spans="1:8" x14ac:dyDescent="0.25">
      <c r="A5" s="583" t="s">
        <v>1184</v>
      </c>
      <c r="B5" s="590">
        <v>100000</v>
      </c>
      <c r="C5" s="593" t="s">
        <v>1223</v>
      </c>
      <c r="D5" s="594"/>
      <c r="E5" s="594"/>
      <c r="F5" s="594"/>
      <c r="G5" s="594"/>
    </row>
    <row r="6" spans="1:8" x14ac:dyDescent="0.25">
      <c r="A6" s="583" t="s">
        <v>1185</v>
      </c>
      <c r="B6" s="590">
        <v>50000</v>
      </c>
      <c r="C6" s="593" t="s">
        <v>1223</v>
      </c>
      <c r="D6" s="594"/>
      <c r="E6" s="594"/>
      <c r="F6" s="594"/>
      <c r="G6" s="594"/>
    </row>
    <row r="7" spans="1:8" x14ac:dyDescent="0.25">
      <c r="A7" s="583" t="s">
        <v>1192</v>
      </c>
      <c r="B7" s="590">
        <v>10000</v>
      </c>
      <c r="C7" s="593" t="s">
        <v>1223</v>
      </c>
      <c r="D7" s="594"/>
      <c r="E7" s="594"/>
      <c r="F7" s="594"/>
      <c r="G7" s="594"/>
    </row>
    <row r="8" spans="1:8" x14ac:dyDescent="0.25">
      <c r="A8" s="583" t="s">
        <v>1224</v>
      </c>
      <c r="B8" s="590">
        <v>130000</v>
      </c>
      <c r="C8" s="593" t="s">
        <v>1223</v>
      </c>
      <c r="D8" s="594"/>
      <c r="E8" s="594"/>
      <c r="F8" s="594"/>
      <c r="G8" s="594"/>
    </row>
    <row r="9" spans="1:8" x14ac:dyDescent="0.25">
      <c r="A9" s="583" t="s">
        <v>1186</v>
      </c>
      <c r="B9" s="590">
        <v>50000</v>
      </c>
      <c r="C9" s="593" t="s">
        <v>1223</v>
      </c>
      <c r="D9" s="594"/>
      <c r="E9" s="594"/>
      <c r="F9" s="594"/>
      <c r="G9" s="594"/>
    </row>
    <row r="10" spans="1:8" x14ac:dyDescent="0.25">
      <c r="A10" s="583" t="s">
        <v>1187</v>
      </c>
      <c r="B10" s="591">
        <f>Rozvaha!G58</f>
        <v>50816</v>
      </c>
      <c r="C10" s="593" t="s">
        <v>1199</v>
      </c>
      <c r="D10" s="594"/>
      <c r="E10" s="594"/>
      <c r="F10" s="594"/>
      <c r="G10" s="594"/>
    </row>
    <row r="11" spans="1:8" x14ac:dyDescent="0.25">
      <c r="A11" s="583" t="s">
        <v>1188</v>
      </c>
      <c r="B11" s="590">
        <f>Rozvaha!G92+Rozvaha!G103+Rozvaha!G115</f>
        <v>370900</v>
      </c>
      <c r="C11" s="593" t="s">
        <v>1200</v>
      </c>
      <c r="D11" s="594"/>
      <c r="E11" s="594"/>
      <c r="F11" s="594"/>
      <c r="G11" s="594"/>
    </row>
    <row r="12" spans="1:8" x14ac:dyDescent="0.25">
      <c r="A12" s="589"/>
      <c r="B12" s="589"/>
      <c r="C12" s="594"/>
      <c r="D12" s="594"/>
      <c r="E12" s="594"/>
      <c r="F12" s="594"/>
      <c r="G12" s="594"/>
    </row>
    <row r="13" spans="1:8" x14ac:dyDescent="0.25">
      <c r="A13" s="589"/>
      <c r="B13" s="589"/>
      <c r="C13" s="594"/>
      <c r="D13" s="594"/>
      <c r="E13" s="594"/>
      <c r="F13" s="594"/>
      <c r="G13" s="594"/>
    </row>
    <row r="14" spans="1:8" x14ac:dyDescent="0.25">
      <c r="A14" s="585" t="s">
        <v>1189</v>
      </c>
      <c r="B14" s="584">
        <f>B4+B5+B6+B7+B8+B9+B10</f>
        <v>890816</v>
      </c>
      <c r="C14" s="594"/>
      <c r="D14" s="594"/>
      <c r="E14" s="594"/>
      <c r="F14" s="594"/>
      <c r="G14" s="594"/>
    </row>
    <row r="15" spans="1:8" x14ac:dyDescent="0.25">
      <c r="A15" s="585" t="s">
        <v>1190</v>
      </c>
      <c r="B15" s="588">
        <f>B11</f>
        <v>370900</v>
      </c>
      <c r="C15" s="594"/>
      <c r="D15" s="594"/>
      <c r="E15" s="594"/>
      <c r="F15" s="594"/>
      <c r="G15" s="594"/>
    </row>
    <row r="16" spans="1:8" x14ac:dyDescent="0.25">
      <c r="A16" s="586" t="s">
        <v>1191</v>
      </c>
      <c r="B16" s="587">
        <f>B14-B15</f>
        <v>519916</v>
      </c>
      <c r="C16" s="593" t="s">
        <v>1202</v>
      </c>
      <c r="D16" s="594"/>
      <c r="E16" s="594"/>
      <c r="F16" s="594"/>
      <c r="G16" s="594"/>
    </row>
    <row r="17" spans="1:7" x14ac:dyDescent="0.25">
      <c r="C17" s="594"/>
      <c r="D17" s="594"/>
      <c r="E17" s="594"/>
      <c r="F17" s="594"/>
      <c r="G17" s="594"/>
    </row>
    <row r="20" spans="1:7" x14ac:dyDescent="0.25">
      <c r="A20" s="567" t="s">
        <v>1469</v>
      </c>
    </row>
    <row r="21" spans="1:7" x14ac:dyDescent="0.25">
      <c r="A21" s="135" t="s">
        <v>1470</v>
      </c>
      <c r="B21" s="135"/>
      <c r="C21" s="135"/>
      <c r="D21" s="135"/>
      <c r="E21" s="135"/>
      <c r="F21" s="135"/>
    </row>
    <row r="22" spans="1:7" ht="42" customHeight="1" x14ac:dyDescent="0.25">
      <c r="A22" s="629" t="s">
        <v>1471</v>
      </c>
      <c r="B22" s="629" t="s">
        <v>1472</v>
      </c>
      <c r="C22" s="629" t="s">
        <v>1473</v>
      </c>
      <c r="D22" s="629" t="s">
        <v>1474</v>
      </c>
      <c r="E22" s="629" t="s">
        <v>1475</v>
      </c>
      <c r="F22" s="629" t="s">
        <v>1486</v>
      </c>
    </row>
    <row r="23" spans="1:7" x14ac:dyDescent="0.25">
      <c r="A23" s="583" t="s">
        <v>1476</v>
      </c>
      <c r="B23" s="583" t="s">
        <v>1477</v>
      </c>
      <c r="C23" s="715">
        <v>250000</v>
      </c>
      <c r="D23" s="715">
        <v>90000</v>
      </c>
      <c r="E23" s="583" t="s">
        <v>1478</v>
      </c>
      <c r="F23" s="583">
        <v>1</v>
      </c>
    </row>
    <row r="24" spans="1:7" x14ac:dyDescent="0.25">
      <c r="A24" s="583" t="s">
        <v>1476</v>
      </c>
      <c r="B24" s="583" t="s">
        <v>1479</v>
      </c>
      <c r="C24" s="715">
        <v>240000</v>
      </c>
      <c r="D24" s="715">
        <v>110000</v>
      </c>
      <c r="E24" s="583" t="s">
        <v>1478</v>
      </c>
      <c r="F24" s="583">
        <v>2</v>
      </c>
    </row>
    <row r="25" spans="1:7" x14ac:dyDescent="0.25">
      <c r="A25" s="583" t="s">
        <v>1480</v>
      </c>
      <c r="B25" s="583" t="s">
        <v>1481</v>
      </c>
      <c r="C25" s="715">
        <v>440000</v>
      </c>
      <c r="D25" s="715">
        <v>60000</v>
      </c>
      <c r="E25" s="583" t="s">
        <v>1482</v>
      </c>
      <c r="F25" s="583">
        <v>3</v>
      </c>
    </row>
    <row r="26" spans="1:7" x14ac:dyDescent="0.25">
      <c r="A26" s="583" t="s">
        <v>1483</v>
      </c>
      <c r="B26" s="583" t="s">
        <v>1481</v>
      </c>
      <c r="C26" s="715">
        <v>330000</v>
      </c>
      <c r="D26" s="715">
        <v>40000</v>
      </c>
      <c r="E26" s="583" t="s">
        <v>1484</v>
      </c>
      <c r="F26" s="583">
        <v>4</v>
      </c>
    </row>
    <row r="27" spans="1:7" x14ac:dyDescent="0.25">
      <c r="A27" s="583" t="s">
        <v>1485</v>
      </c>
      <c r="B27" s="583" t="s">
        <v>1479</v>
      </c>
      <c r="C27" s="715">
        <v>300000</v>
      </c>
      <c r="D27" s="715">
        <v>100000</v>
      </c>
      <c r="E27" s="583" t="s">
        <v>1081</v>
      </c>
      <c r="F27" s="583">
        <v>5</v>
      </c>
    </row>
    <row r="28" spans="1:7" s="716" customFormat="1" ht="58.5" customHeight="1" x14ac:dyDescent="0.25">
      <c r="A28" s="629" t="s">
        <v>1487</v>
      </c>
      <c r="B28" s="629" t="s">
        <v>1488</v>
      </c>
      <c r="C28" s="629" t="s">
        <v>1489</v>
      </c>
      <c r="D28" s="629" t="s">
        <v>1490</v>
      </c>
      <c r="E28" s="629" t="s">
        <v>1486</v>
      </c>
    </row>
    <row r="29" spans="1:7" x14ac:dyDescent="0.25">
      <c r="A29" s="583" t="s">
        <v>1491</v>
      </c>
      <c r="B29" s="583">
        <v>2016</v>
      </c>
      <c r="C29" s="583" t="s">
        <v>1492</v>
      </c>
      <c r="D29" s="583">
        <v>200</v>
      </c>
      <c r="E29" s="583">
        <v>1</v>
      </c>
    </row>
    <row r="30" spans="1:7" x14ac:dyDescent="0.25">
      <c r="A30" s="583" t="s">
        <v>1493</v>
      </c>
      <c r="B30" s="583">
        <v>2016</v>
      </c>
      <c r="C30" s="583" t="s">
        <v>1494</v>
      </c>
      <c r="D30" s="583">
        <v>130</v>
      </c>
      <c r="E30" s="583">
        <v>2</v>
      </c>
    </row>
    <row r="31" spans="1:7" x14ac:dyDescent="0.25">
      <c r="A31" s="586" t="s">
        <v>1495</v>
      </c>
      <c r="B31" s="587">
        <v>200000</v>
      </c>
    </row>
    <row r="36" spans="1:7" ht="51" x14ac:dyDescent="0.25">
      <c r="A36" s="629" t="s">
        <v>1181</v>
      </c>
      <c r="B36" s="629" t="s">
        <v>1458</v>
      </c>
      <c r="C36" s="629" t="s">
        <v>1459</v>
      </c>
      <c r="D36" s="629" t="s">
        <v>1496</v>
      </c>
      <c r="E36" s="629" t="s">
        <v>1497</v>
      </c>
      <c r="F36" s="629" t="s">
        <v>1498</v>
      </c>
      <c r="G36" s="629" t="s">
        <v>1460</v>
      </c>
    </row>
    <row r="37" spans="1:7" x14ac:dyDescent="0.25">
      <c r="A37" s="583" t="s">
        <v>1499</v>
      </c>
      <c r="B37" s="590">
        <v>150000</v>
      </c>
      <c r="C37" s="590">
        <v>120000</v>
      </c>
      <c r="D37" s="590">
        <v>100000</v>
      </c>
      <c r="E37" s="590">
        <v>150000</v>
      </c>
      <c r="F37" s="590">
        <v>130000</v>
      </c>
      <c r="G37" s="590">
        <f>MEDIAN(B37:F37)</f>
        <v>130000</v>
      </c>
    </row>
    <row r="38" spans="1:7" x14ac:dyDescent="0.25">
      <c r="A38" s="583" t="s">
        <v>1500</v>
      </c>
      <c r="B38" s="590">
        <v>130000</v>
      </c>
      <c r="C38" s="590">
        <v>110000</v>
      </c>
      <c r="D38" s="590">
        <v>140000</v>
      </c>
      <c r="E38" s="590">
        <v>100000</v>
      </c>
      <c r="F38" s="590">
        <v>130000</v>
      </c>
      <c r="G38" s="590">
        <f t="shared" ref="G38:G43" si="0">MEDIAN(B38:F38)</f>
        <v>130000</v>
      </c>
    </row>
    <row r="39" spans="1:7" x14ac:dyDescent="0.25">
      <c r="A39" s="583" t="s">
        <v>1501</v>
      </c>
      <c r="B39" s="590">
        <v>350000</v>
      </c>
      <c r="C39" s="590">
        <v>330000</v>
      </c>
      <c r="D39" s="590">
        <v>300000</v>
      </c>
      <c r="E39" s="590">
        <v>400000</v>
      </c>
      <c r="F39" s="590">
        <v>380000</v>
      </c>
      <c r="G39" s="590">
        <f t="shared" si="0"/>
        <v>350000</v>
      </c>
    </row>
    <row r="40" spans="1:7" x14ac:dyDescent="0.25">
      <c r="A40" s="583" t="s">
        <v>1502</v>
      </c>
      <c r="B40" s="590">
        <v>250000</v>
      </c>
      <c r="C40" s="590">
        <v>220000</v>
      </c>
      <c r="D40" s="590">
        <v>210000</v>
      </c>
      <c r="E40" s="590">
        <v>250000</v>
      </c>
      <c r="F40" s="590">
        <v>270000</v>
      </c>
      <c r="G40" s="590">
        <f t="shared" si="0"/>
        <v>250000</v>
      </c>
    </row>
    <row r="41" spans="1:7" x14ac:dyDescent="0.25">
      <c r="A41" s="583" t="s">
        <v>1503</v>
      </c>
      <c r="B41" s="590">
        <v>150000</v>
      </c>
      <c r="C41" s="590">
        <v>180000</v>
      </c>
      <c r="D41" s="590">
        <v>140000</v>
      </c>
      <c r="E41" s="590">
        <v>200000</v>
      </c>
      <c r="F41" s="590">
        <v>210000</v>
      </c>
      <c r="G41" s="590">
        <f t="shared" si="0"/>
        <v>180000</v>
      </c>
    </row>
    <row r="42" spans="1:7" x14ac:dyDescent="0.25">
      <c r="A42" s="583" t="s">
        <v>1491</v>
      </c>
      <c r="B42" s="590">
        <v>3300000</v>
      </c>
      <c r="C42" s="590">
        <v>3900000</v>
      </c>
      <c r="D42" s="590">
        <v>3400000</v>
      </c>
      <c r="E42" s="590">
        <v>3200000</v>
      </c>
      <c r="F42" s="590">
        <v>3250000</v>
      </c>
      <c r="G42" s="590">
        <f t="shared" si="0"/>
        <v>3300000</v>
      </c>
    </row>
    <row r="43" spans="1:7" x14ac:dyDescent="0.25">
      <c r="A43" s="583" t="s">
        <v>1493</v>
      </c>
      <c r="B43" s="590">
        <v>1000000</v>
      </c>
      <c r="C43" s="590">
        <v>800000</v>
      </c>
      <c r="D43" s="590">
        <v>850000</v>
      </c>
      <c r="E43" s="590">
        <v>740000</v>
      </c>
      <c r="F43" s="590">
        <v>810000</v>
      </c>
      <c r="G43" s="590">
        <f t="shared" si="0"/>
        <v>810000</v>
      </c>
    </row>
    <row r="44" spans="1:7" x14ac:dyDescent="0.25">
      <c r="A44" s="586" t="s">
        <v>548</v>
      </c>
      <c r="B44" s="587"/>
      <c r="C44" s="587"/>
      <c r="D44" s="587"/>
      <c r="E44" s="587"/>
      <c r="F44" s="587"/>
      <c r="G44" s="587">
        <f>SUM(G40:G43)</f>
        <v>4540000</v>
      </c>
    </row>
    <row r="45" spans="1:7" x14ac:dyDescent="0.25">
      <c r="A45" s="585" t="s">
        <v>1184</v>
      </c>
      <c r="B45" s="710"/>
      <c r="C45" s="710"/>
      <c r="D45" s="710"/>
      <c r="E45" s="710"/>
      <c r="F45" s="710"/>
      <c r="G45" s="717">
        <v>200000</v>
      </c>
    </row>
    <row r="46" spans="1:7" x14ac:dyDescent="0.25">
      <c r="A46" s="585" t="s">
        <v>1504</v>
      </c>
      <c r="B46" s="710"/>
      <c r="C46" s="710"/>
      <c r="D46" s="710"/>
      <c r="E46" s="710"/>
      <c r="F46" s="710"/>
      <c r="G46" s="710">
        <f>SUM(G44:G45)</f>
        <v>4740000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5656B-3CF3-461D-83D9-8FDF5922D678}">
  <dimension ref="A2:H31"/>
  <sheetViews>
    <sheetView topLeftCell="A13" workbookViewId="0">
      <selection activeCell="A37" sqref="A37"/>
    </sheetView>
  </sheetViews>
  <sheetFormatPr defaultRowHeight="15" x14ac:dyDescent="0.25"/>
  <cols>
    <col min="1" max="1" width="46.42578125" customWidth="1"/>
    <col min="2" max="2" width="30.140625" customWidth="1"/>
  </cols>
  <sheetData>
    <row r="2" spans="1:8" x14ac:dyDescent="0.25">
      <c r="A2" s="187" t="s">
        <v>1226</v>
      </c>
      <c r="B2" s="187"/>
      <c r="C2" s="187"/>
      <c r="D2" s="187"/>
      <c r="E2" s="187"/>
      <c r="F2" s="187"/>
      <c r="G2" s="187"/>
      <c r="H2" s="187"/>
    </row>
    <row r="3" spans="1:8" x14ac:dyDescent="0.25">
      <c r="A3" s="582" t="s">
        <v>1181</v>
      </c>
      <c r="B3" s="582" t="s">
        <v>1182</v>
      </c>
    </row>
    <row r="4" spans="1:8" x14ac:dyDescent="0.25">
      <c r="A4" s="583" t="s">
        <v>1183</v>
      </c>
      <c r="B4" s="590">
        <f>Rozvaha!G14</f>
        <v>450024</v>
      </c>
      <c r="C4" s="593" t="s">
        <v>1194</v>
      </c>
      <c r="D4" s="594"/>
      <c r="E4" s="594"/>
      <c r="F4" s="594"/>
      <c r="G4" s="594"/>
    </row>
    <row r="5" spans="1:8" x14ac:dyDescent="0.25">
      <c r="A5" s="583" t="s">
        <v>1184</v>
      </c>
      <c r="B5" s="590">
        <v>100000</v>
      </c>
      <c r="C5" s="593" t="s">
        <v>1195</v>
      </c>
      <c r="D5" s="594"/>
      <c r="E5" s="594"/>
      <c r="F5" s="594"/>
      <c r="G5" s="594"/>
    </row>
    <row r="6" spans="1:8" x14ac:dyDescent="0.25">
      <c r="A6" s="583" t="s">
        <v>1185</v>
      </c>
      <c r="B6" s="590">
        <f>Rozvaha!G5</f>
        <v>2164</v>
      </c>
      <c r="C6" s="593" t="s">
        <v>1196</v>
      </c>
      <c r="D6" s="594"/>
      <c r="E6" s="594"/>
      <c r="F6" s="594"/>
      <c r="G6" s="594"/>
    </row>
    <row r="7" spans="1:8" x14ac:dyDescent="0.25">
      <c r="A7" s="583" t="s">
        <v>1192</v>
      </c>
      <c r="B7" s="590">
        <f>Rozvaha!G24</f>
        <v>8506</v>
      </c>
      <c r="C7" s="593" t="s">
        <v>1197</v>
      </c>
      <c r="D7" s="594"/>
      <c r="E7" s="594"/>
      <c r="F7" s="594"/>
      <c r="G7" s="594"/>
    </row>
    <row r="8" spans="1:8" x14ac:dyDescent="0.25">
      <c r="A8" s="583" t="s">
        <v>1224</v>
      </c>
      <c r="B8" s="590">
        <f>Rozvaha!G33</f>
        <v>146268</v>
      </c>
      <c r="C8" s="593" t="s">
        <v>1198</v>
      </c>
      <c r="D8" s="594"/>
      <c r="E8" s="594"/>
      <c r="F8" s="594"/>
      <c r="G8" s="594"/>
    </row>
    <row r="9" spans="1:8" x14ac:dyDescent="0.25">
      <c r="A9" s="583" t="s">
        <v>1186</v>
      </c>
      <c r="B9" s="590">
        <f>Rozvaha!G40+Rozvaha!G48</f>
        <v>59126</v>
      </c>
      <c r="C9" s="593" t="s">
        <v>1201</v>
      </c>
      <c r="D9" s="594"/>
      <c r="E9" s="594"/>
      <c r="F9" s="594"/>
      <c r="G9" s="594"/>
    </row>
    <row r="10" spans="1:8" x14ac:dyDescent="0.25">
      <c r="A10" s="583" t="s">
        <v>1187</v>
      </c>
      <c r="B10" s="591">
        <f>Rozvaha!G58</f>
        <v>50816</v>
      </c>
      <c r="C10" s="593" t="s">
        <v>1199</v>
      </c>
      <c r="D10" s="594"/>
      <c r="E10" s="594"/>
      <c r="F10" s="594"/>
      <c r="G10" s="594"/>
    </row>
    <row r="11" spans="1:8" x14ac:dyDescent="0.25">
      <c r="A11" s="583" t="s">
        <v>1188</v>
      </c>
      <c r="B11" s="590">
        <f>Rozvaha!G92+Rozvaha!G103+Rozvaha!G115</f>
        <v>370900</v>
      </c>
      <c r="C11" s="593" t="s">
        <v>1200</v>
      </c>
      <c r="D11" s="594"/>
      <c r="E11" s="594"/>
      <c r="F11" s="594"/>
      <c r="G11" s="594"/>
    </row>
    <row r="12" spans="1:8" x14ac:dyDescent="0.25">
      <c r="A12" s="589"/>
      <c r="B12" s="589"/>
      <c r="C12" s="594"/>
      <c r="D12" s="594"/>
      <c r="E12" s="594"/>
      <c r="F12" s="594"/>
      <c r="G12" s="594"/>
    </row>
    <row r="13" spans="1:8" x14ac:dyDescent="0.25">
      <c r="A13" s="589"/>
      <c r="B13" s="589"/>
      <c r="C13" s="594"/>
      <c r="D13" s="594"/>
      <c r="E13" s="594"/>
      <c r="F13" s="594"/>
      <c r="G13" s="594"/>
    </row>
    <row r="14" spans="1:8" x14ac:dyDescent="0.25">
      <c r="A14" s="585" t="s">
        <v>1189</v>
      </c>
      <c r="B14" s="584">
        <f>B4+B5+B6+B7+B8+B9+B10</f>
        <v>816904</v>
      </c>
      <c r="C14" s="594"/>
      <c r="D14" s="594"/>
      <c r="E14" s="594"/>
      <c r="F14" s="594"/>
      <c r="G14" s="594"/>
    </row>
    <row r="15" spans="1:8" x14ac:dyDescent="0.25">
      <c r="A15" s="585" t="s">
        <v>1190</v>
      </c>
      <c r="B15" s="588">
        <f>B11</f>
        <v>370900</v>
      </c>
      <c r="C15" s="594"/>
      <c r="D15" s="594"/>
      <c r="E15" s="594"/>
      <c r="F15" s="594"/>
      <c r="G15" s="594"/>
    </row>
    <row r="16" spans="1:8" x14ac:dyDescent="0.25">
      <c r="A16" s="586" t="s">
        <v>1191</v>
      </c>
      <c r="B16" s="587">
        <f>B14-B15</f>
        <v>446004</v>
      </c>
      <c r="C16" s="593" t="s">
        <v>1222</v>
      </c>
      <c r="D16" s="594"/>
      <c r="E16" s="594"/>
      <c r="F16" s="594"/>
      <c r="G16" s="594"/>
    </row>
    <row r="17" spans="1:7" x14ac:dyDescent="0.25">
      <c r="C17" s="594"/>
      <c r="D17" s="594"/>
      <c r="E17" s="594"/>
      <c r="F17" s="594"/>
      <c r="G17" s="594"/>
    </row>
    <row r="20" spans="1:7" x14ac:dyDescent="0.25">
      <c r="A20" s="567" t="s">
        <v>1212</v>
      </c>
    </row>
    <row r="21" spans="1:7" x14ac:dyDescent="0.25">
      <c r="A21" s="135" t="s">
        <v>1213</v>
      </c>
      <c r="B21" s="135"/>
    </row>
    <row r="22" spans="1:7" x14ac:dyDescent="0.25">
      <c r="A22" s="135" t="s">
        <v>1219</v>
      </c>
      <c r="B22" s="135">
        <v>2</v>
      </c>
    </row>
    <row r="23" spans="1:7" x14ac:dyDescent="0.25">
      <c r="A23" s="135" t="s">
        <v>1220</v>
      </c>
      <c r="B23" s="135">
        <v>10</v>
      </c>
    </row>
    <row r="24" spans="1:7" x14ac:dyDescent="0.25">
      <c r="A24" s="135" t="s">
        <v>1221</v>
      </c>
      <c r="B24" s="598">
        <v>750000</v>
      </c>
    </row>
    <row r="25" spans="1:7" x14ac:dyDescent="0.25">
      <c r="A25" s="135" t="s">
        <v>1214</v>
      </c>
      <c r="B25" s="599">
        <v>0.1</v>
      </c>
    </row>
    <row r="26" spans="1:7" x14ac:dyDescent="0.25">
      <c r="A26" s="135" t="s">
        <v>1215</v>
      </c>
      <c r="B26" s="135"/>
    </row>
    <row r="28" spans="1:7" x14ac:dyDescent="0.25">
      <c r="A28" s="582" t="s">
        <v>1181</v>
      </c>
      <c r="B28" s="582" t="s">
        <v>1182</v>
      </c>
    </row>
    <row r="29" spans="1:7" x14ac:dyDescent="0.25">
      <c r="A29" s="583" t="s">
        <v>1216</v>
      </c>
      <c r="B29" s="590">
        <f>B24*(((1+B25)^3)/(((1+B25)^8)-1))</f>
        <v>872909.90544057474</v>
      </c>
    </row>
    <row r="30" spans="1:7" x14ac:dyDescent="0.25">
      <c r="A30" s="583" t="s">
        <v>1217</v>
      </c>
      <c r="B30" s="590">
        <f>B24*(((1+B25)^8)/(((1+B25)^8)-1))</f>
        <v>1405830.1318111003</v>
      </c>
    </row>
    <row r="31" spans="1:7" x14ac:dyDescent="0.25">
      <c r="A31" s="586" t="s">
        <v>1218</v>
      </c>
      <c r="B31" s="587">
        <f>B30-B29</f>
        <v>532920.22637052555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B2CA3-D255-41B1-93A2-D402C71936A4}">
  <dimension ref="A2:H31"/>
  <sheetViews>
    <sheetView workbookViewId="0">
      <selection activeCell="A19" sqref="A19:D25"/>
    </sheetView>
  </sheetViews>
  <sheetFormatPr defaultRowHeight="15" x14ac:dyDescent="0.25"/>
  <cols>
    <col min="1" max="1" width="51.140625" customWidth="1"/>
    <col min="2" max="2" width="23.28515625" customWidth="1"/>
    <col min="3" max="3" width="16.85546875" customWidth="1"/>
    <col min="4" max="4" width="22.5703125" customWidth="1"/>
  </cols>
  <sheetData>
    <row r="2" spans="1:8" x14ac:dyDescent="0.25">
      <c r="A2" s="187" t="s">
        <v>1227</v>
      </c>
      <c r="B2" s="187"/>
      <c r="C2" s="187"/>
      <c r="D2" s="187"/>
      <c r="E2" s="187"/>
      <c r="F2" s="187"/>
      <c r="G2" s="187"/>
      <c r="H2" s="187"/>
    </row>
    <row r="3" spans="1:8" x14ac:dyDescent="0.25">
      <c r="A3" s="582" t="s">
        <v>576</v>
      </c>
      <c r="B3" s="582" t="s">
        <v>1182</v>
      </c>
    </row>
    <row r="4" spans="1:8" x14ac:dyDescent="0.25">
      <c r="A4" s="583" t="s">
        <v>1228</v>
      </c>
      <c r="B4" s="590">
        <v>2000000</v>
      </c>
    </row>
    <row r="5" spans="1:8" x14ac:dyDescent="0.25">
      <c r="A5" s="583" t="s">
        <v>1229</v>
      </c>
      <c r="B5" s="590">
        <v>1200000</v>
      </c>
    </row>
    <row r="6" spans="1:8" x14ac:dyDescent="0.25">
      <c r="A6" s="583" t="s">
        <v>1230</v>
      </c>
      <c r="B6" s="590">
        <v>0</v>
      </c>
    </row>
    <row r="7" spans="1:8" x14ac:dyDescent="0.25">
      <c r="A7" s="586" t="s">
        <v>1191</v>
      </c>
      <c r="B7" s="587">
        <f>B4-B5</f>
        <v>800000</v>
      </c>
    </row>
    <row r="10" spans="1:8" x14ac:dyDescent="0.25">
      <c r="A10" s="567" t="s">
        <v>1452</v>
      </c>
    </row>
    <row r="11" spans="1:8" x14ac:dyDescent="0.25">
      <c r="A11" s="135" t="s">
        <v>1213</v>
      </c>
      <c r="B11" s="135"/>
    </row>
    <row r="12" spans="1:8" x14ac:dyDescent="0.25">
      <c r="A12" s="135" t="s">
        <v>1453</v>
      </c>
      <c r="B12" s="598">
        <v>174058</v>
      </c>
    </row>
    <row r="13" spans="1:8" x14ac:dyDescent="0.25">
      <c r="A13" s="135" t="s">
        <v>1467</v>
      </c>
      <c r="B13" s="598">
        <v>143281</v>
      </c>
    </row>
    <row r="14" spans="1:8" x14ac:dyDescent="0.25">
      <c r="A14" s="135" t="s">
        <v>1454</v>
      </c>
      <c r="B14" s="598">
        <v>15423</v>
      </c>
    </row>
    <row r="15" spans="1:8" x14ac:dyDescent="0.25">
      <c r="A15" s="135" t="s">
        <v>1455</v>
      </c>
      <c r="B15" s="598">
        <v>95281</v>
      </c>
    </row>
    <row r="16" spans="1:8" ht="15.75" customHeight="1" x14ac:dyDescent="0.25">
      <c r="A16" s="135" t="s">
        <v>1456</v>
      </c>
      <c r="B16" s="598">
        <v>180544</v>
      </c>
      <c r="C16" s="709"/>
    </row>
    <row r="17" spans="1:4" s="178" customFormat="1" ht="15.75" customHeight="1" x14ac:dyDescent="0.25">
      <c r="A17" s="712" t="s">
        <v>1468</v>
      </c>
      <c r="B17" s="713">
        <f>SUM(B14:B16)</f>
        <v>291248</v>
      </c>
      <c r="C17" s="714"/>
    </row>
    <row r="19" spans="1:4" ht="30" customHeight="1" x14ac:dyDescent="0.25">
      <c r="A19" s="629" t="s">
        <v>1181</v>
      </c>
      <c r="B19" s="629" t="s">
        <v>1458</v>
      </c>
      <c r="C19" s="629" t="s">
        <v>1459</v>
      </c>
      <c r="D19" s="629" t="s">
        <v>1460</v>
      </c>
    </row>
    <row r="20" spans="1:4" x14ac:dyDescent="0.25">
      <c r="A20" s="583" t="s">
        <v>1457</v>
      </c>
      <c r="B20" s="590">
        <v>23500</v>
      </c>
      <c r="C20" s="590">
        <v>25000</v>
      </c>
      <c r="D20" s="590">
        <f>2*((B20+C20)/2)</f>
        <v>48500</v>
      </c>
    </row>
    <row r="21" spans="1:4" x14ac:dyDescent="0.25">
      <c r="A21" s="583" t="s">
        <v>1461</v>
      </c>
      <c r="B21" s="590">
        <v>6660</v>
      </c>
      <c r="C21" s="590">
        <v>5990</v>
      </c>
      <c r="D21" s="590">
        <f>((B21+C21)/2)</f>
        <v>6325</v>
      </c>
    </row>
    <row r="22" spans="1:4" x14ac:dyDescent="0.25">
      <c r="A22" s="583" t="s">
        <v>1462</v>
      </c>
      <c r="B22" s="590">
        <v>10000</v>
      </c>
      <c r="C22" s="590">
        <v>8500</v>
      </c>
      <c r="D22" s="590">
        <f>((B22+C22)/2)</f>
        <v>9250</v>
      </c>
    </row>
    <row r="23" spans="1:4" x14ac:dyDescent="0.25">
      <c r="A23" s="586" t="s">
        <v>548</v>
      </c>
      <c r="B23" s="587"/>
      <c r="C23" s="587"/>
      <c r="D23" s="587">
        <f>SUM(D20:D22)</f>
        <v>64075</v>
      </c>
    </row>
    <row r="24" spans="1:4" x14ac:dyDescent="0.25">
      <c r="A24" s="585" t="s">
        <v>1463</v>
      </c>
      <c r="B24" s="710"/>
      <c r="C24" s="710"/>
      <c r="D24" s="711">
        <v>7.3700000000000002E-2</v>
      </c>
    </row>
    <row r="25" spans="1:4" x14ac:dyDescent="0.25">
      <c r="A25" s="585" t="s">
        <v>1464</v>
      </c>
      <c r="B25" s="710"/>
      <c r="C25" s="710"/>
      <c r="D25" s="710">
        <f>D23/(1+D24)^2</f>
        <v>55580.533182601866</v>
      </c>
    </row>
    <row r="28" spans="1:4" x14ac:dyDescent="0.25">
      <c r="A28" s="582" t="s">
        <v>576</v>
      </c>
      <c r="B28" s="582" t="s">
        <v>1182</v>
      </c>
    </row>
    <row r="29" spans="1:4" x14ac:dyDescent="0.25">
      <c r="A29" s="583" t="s">
        <v>1465</v>
      </c>
      <c r="B29" s="590">
        <f>D25+B12+B13</f>
        <v>372919.53318260185</v>
      </c>
    </row>
    <row r="30" spans="1:4" x14ac:dyDescent="0.25">
      <c r="A30" s="583" t="s">
        <v>1466</v>
      </c>
      <c r="B30" s="590">
        <f>B17</f>
        <v>291248</v>
      </c>
    </row>
    <row r="31" spans="1:4" x14ac:dyDescent="0.25">
      <c r="A31" s="586" t="s">
        <v>1191</v>
      </c>
      <c r="B31" s="587">
        <f>B29-B30</f>
        <v>81671.533182601852</v>
      </c>
    </row>
  </sheetData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92D61-57DE-42A6-A84A-7D8274E69BC0}">
  <dimension ref="A1:H34"/>
  <sheetViews>
    <sheetView topLeftCell="A10" workbookViewId="0">
      <selection activeCell="A36" sqref="A36"/>
    </sheetView>
  </sheetViews>
  <sheetFormatPr defaultRowHeight="15" x14ac:dyDescent="0.25"/>
  <cols>
    <col min="1" max="1" width="39.42578125" customWidth="1"/>
    <col min="2" max="2" width="19.85546875" customWidth="1"/>
  </cols>
  <sheetData>
    <row r="1" spans="1:8" x14ac:dyDescent="0.25">
      <c r="A1" s="187" t="s">
        <v>1375</v>
      </c>
      <c r="B1" s="324"/>
      <c r="C1" s="324"/>
      <c r="D1" s="324"/>
      <c r="E1" s="324"/>
      <c r="F1" s="324"/>
      <c r="G1" s="324"/>
      <c r="H1" s="324"/>
    </row>
    <row r="3" spans="1:8" x14ac:dyDescent="0.25">
      <c r="A3" s="188" t="s">
        <v>1203</v>
      </c>
      <c r="B3" s="188"/>
      <c r="C3" s="188"/>
      <c r="D3" s="188"/>
      <c r="E3" s="188"/>
      <c r="F3" s="188"/>
    </row>
    <row r="4" spans="1:8" x14ac:dyDescent="0.25">
      <c r="A4" s="582" t="s">
        <v>576</v>
      </c>
      <c r="B4" s="582" t="s">
        <v>1182</v>
      </c>
      <c r="C4" s="188"/>
      <c r="D4" s="188"/>
      <c r="E4" s="188"/>
      <c r="F4" s="188"/>
    </row>
    <row r="5" spans="1:8" x14ac:dyDescent="0.25">
      <c r="A5" s="583" t="s">
        <v>1207</v>
      </c>
      <c r="B5" s="590">
        <f>DCF!E77</f>
        <v>714065</v>
      </c>
      <c r="C5" s="188"/>
      <c r="D5" s="188"/>
      <c r="E5" s="188"/>
      <c r="F5" s="188"/>
    </row>
    <row r="6" spans="1:8" x14ac:dyDescent="0.25">
      <c r="A6" s="583" t="s">
        <v>1208</v>
      </c>
      <c r="B6" s="590">
        <f>Substanční!B16</f>
        <v>446004</v>
      </c>
      <c r="C6" s="188"/>
      <c r="D6" s="188"/>
      <c r="E6" s="188"/>
      <c r="F6" s="188"/>
    </row>
    <row r="7" spans="1:8" x14ac:dyDescent="0.25">
      <c r="A7" s="586" t="s">
        <v>1191</v>
      </c>
      <c r="B7" s="587">
        <f>(B5+B6)/2</f>
        <v>580034.5</v>
      </c>
      <c r="C7" s="188"/>
      <c r="D7" s="188"/>
      <c r="E7" s="188"/>
      <c r="F7" s="188"/>
    </row>
    <row r="8" spans="1:8" x14ac:dyDescent="0.25">
      <c r="A8" s="188"/>
      <c r="B8" s="188"/>
      <c r="C8" s="188"/>
      <c r="D8" s="188"/>
      <c r="E8" s="188"/>
      <c r="F8" s="188"/>
    </row>
    <row r="9" spans="1:8" x14ac:dyDescent="0.25">
      <c r="A9" s="188"/>
      <c r="B9" s="188"/>
      <c r="C9" s="188"/>
      <c r="D9" s="188"/>
      <c r="E9" s="188"/>
      <c r="F9" s="188"/>
    </row>
    <row r="10" spans="1:8" x14ac:dyDescent="0.25">
      <c r="A10" s="188" t="s">
        <v>1204</v>
      </c>
      <c r="B10" s="188"/>
      <c r="C10" s="188"/>
      <c r="D10" s="188"/>
      <c r="E10" s="188"/>
      <c r="F10" s="188"/>
    </row>
    <row r="11" spans="1:8" x14ac:dyDescent="0.25">
      <c r="A11" s="582" t="s">
        <v>576</v>
      </c>
      <c r="B11" s="582" t="s">
        <v>1182</v>
      </c>
    </row>
    <row r="12" spans="1:8" x14ac:dyDescent="0.25">
      <c r="A12" s="595" t="s">
        <v>1209</v>
      </c>
      <c r="B12" s="596">
        <v>0.05</v>
      </c>
    </row>
    <row r="13" spans="1:8" x14ac:dyDescent="0.25">
      <c r="A13" s="595" t="s">
        <v>1210</v>
      </c>
      <c r="B13" s="596">
        <v>0.15</v>
      </c>
    </row>
    <row r="14" spans="1:8" x14ac:dyDescent="0.25">
      <c r="A14" s="595" t="s">
        <v>1211</v>
      </c>
      <c r="B14" s="597">
        <v>55000</v>
      </c>
    </row>
    <row r="15" spans="1:8" x14ac:dyDescent="0.25">
      <c r="A15" s="583" t="s">
        <v>1205</v>
      </c>
      <c r="B15" s="590">
        <f>B6*(B12)</f>
        <v>22300.2</v>
      </c>
    </row>
    <row r="16" spans="1:8" x14ac:dyDescent="0.25">
      <c r="A16" s="583" t="s">
        <v>1206</v>
      </c>
      <c r="B16" s="590">
        <f>B14-(B15)</f>
        <v>32699.8</v>
      </c>
    </row>
    <row r="17" spans="1:2" x14ac:dyDescent="0.25">
      <c r="A17" s="586" t="s">
        <v>1191</v>
      </c>
      <c r="B17" s="587">
        <f>B15+(B16/B13)</f>
        <v>240298.86666666667</v>
      </c>
    </row>
    <row r="21" spans="1:2" x14ac:dyDescent="0.25">
      <c r="A21" s="567" t="s">
        <v>1505</v>
      </c>
    </row>
    <row r="22" spans="1:2" x14ac:dyDescent="0.25">
      <c r="A22" s="582" t="s">
        <v>1506</v>
      </c>
      <c r="B22" s="582" t="s">
        <v>1158</v>
      </c>
    </row>
    <row r="23" spans="1:2" x14ac:dyDescent="0.25">
      <c r="A23" s="595" t="s">
        <v>1507</v>
      </c>
      <c r="B23" s="597">
        <v>2000000</v>
      </c>
    </row>
    <row r="24" spans="1:2" x14ac:dyDescent="0.25">
      <c r="A24" s="595" t="s">
        <v>1509</v>
      </c>
      <c r="B24" s="596"/>
    </row>
    <row r="25" spans="1:2" x14ac:dyDescent="0.25">
      <c r="A25" s="595" t="s">
        <v>1508</v>
      </c>
      <c r="B25" s="596">
        <v>0.08</v>
      </c>
    </row>
    <row r="26" spans="1:2" x14ac:dyDescent="0.25">
      <c r="A26" s="583" t="s">
        <v>1510</v>
      </c>
      <c r="B26" s="596">
        <v>0.1</v>
      </c>
    </row>
    <row r="27" spans="1:2" x14ac:dyDescent="0.25">
      <c r="A27" s="583" t="s">
        <v>1211</v>
      </c>
      <c r="B27" s="590">
        <v>200000</v>
      </c>
    </row>
    <row r="29" spans="1:2" x14ac:dyDescent="0.25">
      <c r="A29" s="582" t="s">
        <v>576</v>
      </c>
      <c r="B29" s="582" t="s">
        <v>1182</v>
      </c>
    </row>
    <row r="30" spans="1:2" x14ac:dyDescent="0.25">
      <c r="A30" s="595" t="s">
        <v>1511</v>
      </c>
      <c r="B30" s="597">
        <f>(B23/100)*B25*100</f>
        <v>160000</v>
      </c>
    </row>
    <row r="31" spans="1:2" x14ac:dyDescent="0.25">
      <c r="A31" s="595" t="s">
        <v>1206</v>
      </c>
      <c r="B31" s="597">
        <f>B27-B30</f>
        <v>40000</v>
      </c>
    </row>
    <row r="32" spans="1:2" x14ac:dyDescent="0.25">
      <c r="A32" s="595" t="s">
        <v>1512</v>
      </c>
      <c r="B32" s="597">
        <f>B31/B26</f>
        <v>400000</v>
      </c>
    </row>
    <row r="33" spans="1:2" x14ac:dyDescent="0.25">
      <c r="A33" s="583" t="s">
        <v>1514</v>
      </c>
      <c r="B33" s="590">
        <f>B23</f>
        <v>2000000</v>
      </c>
    </row>
    <row r="34" spans="1:2" x14ac:dyDescent="0.25">
      <c r="A34" s="586" t="s">
        <v>1513</v>
      </c>
      <c r="B34" s="718">
        <f>B32+B33</f>
        <v>2400000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0955E-2E8B-42A4-8BCC-09281C7D9A60}">
  <dimension ref="A2:G8"/>
  <sheetViews>
    <sheetView workbookViewId="0">
      <selection activeCell="A2" sqref="A2:G2"/>
    </sheetView>
  </sheetViews>
  <sheetFormatPr defaultRowHeight="15" x14ac:dyDescent="0.25"/>
  <cols>
    <col min="1" max="1" width="40.42578125" customWidth="1"/>
    <col min="2" max="2" width="24.42578125" customWidth="1"/>
  </cols>
  <sheetData>
    <row r="2" spans="1:7" x14ac:dyDescent="0.25">
      <c r="A2" s="187" t="s">
        <v>1272</v>
      </c>
      <c r="B2" s="187"/>
      <c r="C2" s="187"/>
      <c r="D2" s="187"/>
      <c r="E2" s="187"/>
      <c r="F2" s="187"/>
      <c r="G2" s="187"/>
    </row>
    <row r="3" spans="1:7" x14ac:dyDescent="0.25">
      <c r="A3" s="582" t="s">
        <v>576</v>
      </c>
      <c r="B3" s="582" t="s">
        <v>1182</v>
      </c>
    </row>
    <row r="4" spans="1:7" x14ac:dyDescent="0.25">
      <c r="A4" s="583" t="s">
        <v>1273</v>
      </c>
      <c r="B4" s="626">
        <v>529.43399999999997</v>
      </c>
    </row>
    <row r="5" spans="1:7" x14ac:dyDescent="0.25">
      <c r="A5" s="583" t="s">
        <v>1274</v>
      </c>
      <c r="B5" s="627">
        <v>537989759</v>
      </c>
    </row>
    <row r="6" spans="1:7" x14ac:dyDescent="0.25">
      <c r="A6" s="583" t="s">
        <v>1275</v>
      </c>
      <c r="B6" s="627">
        <f>B4*B5</f>
        <v>284830070066.40601</v>
      </c>
    </row>
    <row r="7" spans="1:7" x14ac:dyDescent="0.25">
      <c r="A7" s="583" t="s">
        <v>1276</v>
      </c>
      <c r="B7" s="622">
        <v>0.4</v>
      </c>
    </row>
    <row r="8" spans="1:7" x14ac:dyDescent="0.25">
      <c r="A8" s="586" t="s">
        <v>1191</v>
      </c>
      <c r="B8" s="628">
        <f>B6+(B6*B7)</f>
        <v>398762098092.96838</v>
      </c>
    </row>
  </sheetData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439E1-F1CA-4ECA-AFE2-9E3BCA3A7681}">
  <dimension ref="A2:N27"/>
  <sheetViews>
    <sheetView workbookViewId="0">
      <selection activeCell="A2" sqref="A2"/>
    </sheetView>
  </sheetViews>
  <sheetFormatPr defaultRowHeight="15" x14ac:dyDescent="0.25"/>
  <sheetData>
    <row r="2" spans="1:13" s="567" customFormat="1" ht="12.75" x14ac:dyDescent="0.2">
      <c r="A2" s="187" t="s">
        <v>1248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</row>
    <row r="3" spans="1:13" x14ac:dyDescent="0.25">
      <c r="A3" s="523" t="s">
        <v>576</v>
      </c>
      <c r="B3" s="522"/>
      <c r="C3" s="522"/>
      <c r="D3" s="522"/>
      <c r="E3" s="522"/>
      <c r="F3" s="618">
        <v>1</v>
      </c>
      <c r="G3" s="618">
        <f>F3+1</f>
        <v>2</v>
      </c>
      <c r="H3" s="618">
        <f t="shared" ref="H3:M3" si="0">G3+1</f>
        <v>3</v>
      </c>
      <c r="I3" s="618">
        <f t="shared" si="0"/>
        <v>4</v>
      </c>
      <c r="J3" s="618">
        <f t="shared" si="0"/>
        <v>5</v>
      </c>
      <c r="K3" s="618">
        <f t="shared" si="0"/>
        <v>6</v>
      </c>
      <c r="L3" s="618">
        <f t="shared" si="0"/>
        <v>7</v>
      </c>
      <c r="M3" s="618">
        <f t="shared" si="0"/>
        <v>8</v>
      </c>
    </row>
    <row r="4" spans="1:13" x14ac:dyDescent="0.25">
      <c r="A4" s="69" t="s">
        <v>34</v>
      </c>
      <c r="B4" s="69"/>
      <c r="C4" s="69"/>
      <c r="D4" s="69"/>
      <c r="E4" s="69"/>
      <c r="F4" s="116">
        <v>3300</v>
      </c>
      <c r="G4" s="116">
        <v>3300</v>
      </c>
      <c r="H4" s="116">
        <v>3300</v>
      </c>
      <c r="I4" s="116">
        <v>3300</v>
      </c>
      <c r="J4" s="116">
        <v>3300</v>
      </c>
      <c r="K4" s="116">
        <v>3300</v>
      </c>
      <c r="L4" s="116">
        <v>3300</v>
      </c>
      <c r="M4" s="116">
        <v>3300</v>
      </c>
    </row>
    <row r="5" spans="1:13" x14ac:dyDescent="0.25">
      <c r="A5" s="69" t="s">
        <v>35</v>
      </c>
      <c r="B5" s="69"/>
      <c r="C5" s="69"/>
      <c r="D5" s="69"/>
      <c r="E5" s="69"/>
      <c r="F5" s="116">
        <v>5600</v>
      </c>
      <c r="G5" s="116">
        <v>5250</v>
      </c>
      <c r="H5" s="116">
        <v>4900</v>
      </c>
      <c r="I5" s="116">
        <v>4550</v>
      </c>
      <c r="J5" s="116">
        <v>420</v>
      </c>
      <c r="K5" s="116">
        <v>3850</v>
      </c>
      <c r="L5" s="116">
        <v>3500</v>
      </c>
      <c r="M5" s="116">
        <v>3150</v>
      </c>
    </row>
    <row r="6" spans="1:13" x14ac:dyDescent="0.25">
      <c r="A6" s="69" t="s">
        <v>1249</v>
      </c>
      <c r="B6" s="69"/>
      <c r="C6" s="69"/>
      <c r="D6" s="69"/>
      <c r="E6" s="69"/>
      <c r="F6" s="116">
        <v>700</v>
      </c>
      <c r="G6" s="116">
        <v>600</v>
      </c>
      <c r="H6" s="116">
        <v>500</v>
      </c>
      <c r="I6" s="116">
        <v>400</v>
      </c>
      <c r="J6" s="116">
        <v>300</v>
      </c>
      <c r="K6" s="116">
        <v>200</v>
      </c>
      <c r="L6" s="116">
        <v>100</v>
      </c>
      <c r="M6" s="116">
        <v>0</v>
      </c>
    </row>
    <row r="7" spans="1:13" x14ac:dyDescent="0.25">
      <c r="A7" s="69" t="s">
        <v>61</v>
      </c>
      <c r="B7" s="69"/>
      <c r="C7" s="69"/>
      <c r="D7" s="69"/>
      <c r="E7" s="69"/>
      <c r="F7" s="116">
        <v>6160</v>
      </c>
      <c r="G7" s="116">
        <v>6160</v>
      </c>
      <c r="H7" s="116">
        <v>6160</v>
      </c>
      <c r="I7" s="116">
        <v>6160</v>
      </c>
      <c r="J7" s="116">
        <v>6160</v>
      </c>
      <c r="K7" s="116">
        <v>6160</v>
      </c>
      <c r="L7" s="116">
        <v>6160</v>
      </c>
      <c r="M7" s="116">
        <v>6160</v>
      </c>
    </row>
    <row r="8" spans="1:13" x14ac:dyDescent="0.25">
      <c r="A8" s="69" t="s">
        <v>494</v>
      </c>
      <c r="B8" s="69"/>
      <c r="C8" s="69"/>
      <c r="D8" s="69"/>
      <c r="E8" s="69"/>
      <c r="F8" s="116">
        <v>2112</v>
      </c>
      <c r="G8" s="116">
        <v>2112</v>
      </c>
      <c r="H8" s="116">
        <v>2112</v>
      </c>
      <c r="I8" s="116">
        <v>2112</v>
      </c>
      <c r="J8" s="116">
        <v>2112</v>
      </c>
      <c r="K8" s="116">
        <v>2112</v>
      </c>
      <c r="L8" s="116">
        <v>2112</v>
      </c>
      <c r="M8" s="116">
        <v>2112</v>
      </c>
    </row>
    <row r="9" spans="1:13" x14ac:dyDescent="0.25">
      <c r="A9" s="69" t="s">
        <v>1250</v>
      </c>
      <c r="B9" s="69"/>
      <c r="C9" s="69"/>
      <c r="D9" s="69"/>
      <c r="E9" s="69"/>
      <c r="F9" s="116">
        <v>3000</v>
      </c>
      <c r="G9" s="116">
        <v>3000</v>
      </c>
      <c r="H9" s="116">
        <v>3000</v>
      </c>
      <c r="I9" s="116">
        <v>3000</v>
      </c>
      <c r="J9" s="116">
        <v>3000</v>
      </c>
      <c r="K9" s="116">
        <v>3000</v>
      </c>
      <c r="L9" s="116">
        <v>3000</v>
      </c>
      <c r="M9" s="116">
        <v>3000</v>
      </c>
    </row>
    <row r="10" spans="1:13" x14ac:dyDescent="0.25">
      <c r="A10" s="69" t="s">
        <v>1254</v>
      </c>
      <c r="B10" s="69"/>
      <c r="C10" s="69"/>
      <c r="D10" s="69"/>
      <c r="E10" s="69"/>
      <c r="F10" s="116">
        <v>-6160</v>
      </c>
      <c r="G10" s="116">
        <v>-6160</v>
      </c>
      <c r="H10" s="116">
        <v>-6160</v>
      </c>
      <c r="I10" s="116">
        <v>-6160</v>
      </c>
      <c r="J10" s="116">
        <v>-6160</v>
      </c>
      <c r="K10" s="116">
        <v>-6160</v>
      </c>
      <c r="L10" s="116">
        <v>-6160</v>
      </c>
      <c r="M10" s="116">
        <v>-6160</v>
      </c>
    </row>
    <row r="11" spans="1:13" x14ac:dyDescent="0.25">
      <c r="A11" s="113" t="s">
        <v>1251</v>
      </c>
      <c r="B11" s="113"/>
      <c r="C11" s="113"/>
      <c r="D11" s="113"/>
      <c r="E11" s="113"/>
      <c r="F11" s="120">
        <f>SUM(F3:F10)</f>
        <v>14713</v>
      </c>
      <c r="G11" s="120">
        <f t="shared" ref="G11:M11" si="1">SUM(G3:G10)</f>
        <v>14264</v>
      </c>
      <c r="H11" s="120">
        <f t="shared" si="1"/>
        <v>13815</v>
      </c>
      <c r="I11" s="120">
        <f t="shared" si="1"/>
        <v>13366</v>
      </c>
      <c r="J11" s="120">
        <f t="shared" si="1"/>
        <v>9137</v>
      </c>
      <c r="K11" s="120">
        <f t="shared" si="1"/>
        <v>12468</v>
      </c>
      <c r="L11" s="120">
        <f t="shared" si="1"/>
        <v>12019</v>
      </c>
      <c r="M11" s="120">
        <f t="shared" si="1"/>
        <v>11570</v>
      </c>
    </row>
    <row r="12" spans="1:13" x14ac:dyDescent="0.25">
      <c r="A12" s="69" t="s">
        <v>1252</v>
      </c>
      <c r="B12" s="69"/>
      <c r="C12" s="69"/>
      <c r="D12" s="69"/>
      <c r="E12" s="69"/>
      <c r="F12" s="617">
        <v>-7000</v>
      </c>
      <c r="G12" s="617">
        <v>-7000</v>
      </c>
      <c r="H12" s="617">
        <v>-7000</v>
      </c>
      <c r="I12" s="617">
        <v>-7000</v>
      </c>
      <c r="J12" s="617">
        <v>-7000</v>
      </c>
      <c r="K12" s="617">
        <v>-6000</v>
      </c>
      <c r="L12" s="617">
        <v>-5000</v>
      </c>
      <c r="M12" s="617">
        <v>-4000</v>
      </c>
    </row>
    <row r="13" spans="1:13" x14ac:dyDescent="0.25">
      <c r="A13" s="113" t="s">
        <v>1253</v>
      </c>
      <c r="B13" s="113"/>
      <c r="C13" s="113"/>
      <c r="D13" s="113"/>
      <c r="E13" s="113"/>
      <c r="F13" s="120">
        <f>SUM(F11:F12)</f>
        <v>7713</v>
      </c>
      <c r="G13" s="120">
        <f t="shared" ref="G13:M13" si="2">SUM(G11:G12)</f>
        <v>7264</v>
      </c>
      <c r="H13" s="120">
        <f t="shared" si="2"/>
        <v>6815</v>
      </c>
      <c r="I13" s="120">
        <f t="shared" si="2"/>
        <v>6366</v>
      </c>
      <c r="J13" s="120">
        <f t="shared" si="2"/>
        <v>2137</v>
      </c>
      <c r="K13" s="120">
        <f t="shared" si="2"/>
        <v>6468</v>
      </c>
      <c r="L13" s="120">
        <f t="shared" si="2"/>
        <v>7019</v>
      </c>
      <c r="M13" s="120">
        <f t="shared" si="2"/>
        <v>7570</v>
      </c>
    </row>
    <row r="16" spans="1:13" x14ac:dyDescent="0.25">
      <c r="A16" s="567" t="s">
        <v>1255</v>
      </c>
      <c r="B16" s="567"/>
      <c r="C16" s="567"/>
      <c r="D16" s="567"/>
      <c r="E16" s="567"/>
      <c r="F16" s="567"/>
      <c r="G16" s="567"/>
      <c r="H16" s="567"/>
      <c r="I16" s="567"/>
      <c r="J16" s="567"/>
      <c r="K16" s="567"/>
      <c r="L16" s="567"/>
      <c r="M16" s="567"/>
    </row>
    <row r="17" spans="1:14" x14ac:dyDescent="0.25">
      <c r="A17" s="523" t="s">
        <v>576</v>
      </c>
      <c r="B17" s="522"/>
      <c r="C17" s="522"/>
      <c r="D17" s="522"/>
      <c r="E17" s="522"/>
      <c r="F17" s="618">
        <v>1</v>
      </c>
      <c r="G17" s="618">
        <f>F17+1</f>
        <v>2</v>
      </c>
      <c r="H17" s="618">
        <f t="shared" ref="H17:M17" si="3">G17+1</f>
        <v>3</v>
      </c>
      <c r="I17" s="618">
        <f t="shared" si="3"/>
        <v>4</v>
      </c>
      <c r="J17" s="618">
        <f t="shared" si="3"/>
        <v>5</v>
      </c>
      <c r="K17" s="618">
        <f t="shared" si="3"/>
        <v>6</v>
      </c>
      <c r="L17" s="618">
        <f t="shared" si="3"/>
        <v>7</v>
      </c>
      <c r="M17" s="618">
        <f t="shared" si="3"/>
        <v>8</v>
      </c>
      <c r="N17" s="619"/>
    </row>
    <row r="18" spans="1:14" x14ac:dyDescent="0.25">
      <c r="A18" s="69" t="s">
        <v>1256</v>
      </c>
      <c r="B18" s="69"/>
      <c r="C18" s="69"/>
      <c r="D18" s="69"/>
      <c r="E18" s="69"/>
      <c r="F18" s="116">
        <v>2946</v>
      </c>
      <c r="G18" s="116">
        <v>2671</v>
      </c>
      <c r="H18" s="116">
        <v>2373</v>
      </c>
      <c r="I18" s="116">
        <v>2047</v>
      </c>
      <c r="J18" s="116">
        <v>1691</v>
      </c>
      <c r="K18" s="116">
        <v>1301</v>
      </c>
      <c r="L18" s="116">
        <v>870</v>
      </c>
      <c r="M18" s="116">
        <v>395</v>
      </c>
    </row>
    <row r="19" spans="1:14" x14ac:dyDescent="0.25">
      <c r="A19" s="69" t="s">
        <v>1257</v>
      </c>
      <c r="B19" s="69"/>
      <c r="C19" s="69"/>
      <c r="D19" s="69"/>
      <c r="E19" s="69"/>
      <c r="F19" s="116">
        <v>589</v>
      </c>
      <c r="G19" s="116">
        <v>534</v>
      </c>
      <c r="H19" s="116">
        <v>475</v>
      </c>
      <c r="I19" s="116">
        <v>409</v>
      </c>
      <c r="J19" s="116">
        <v>338</v>
      </c>
      <c r="K19" s="116">
        <v>260</v>
      </c>
      <c r="L19" s="116">
        <v>174</v>
      </c>
      <c r="M19" s="116">
        <v>79</v>
      </c>
    </row>
    <row r="20" spans="1:14" x14ac:dyDescent="0.25">
      <c r="A20" s="107" t="s">
        <v>1258</v>
      </c>
      <c r="B20" s="107"/>
      <c r="C20" s="107"/>
      <c r="D20" s="107"/>
      <c r="E20" s="107"/>
      <c r="F20" s="620">
        <f>F18-F19</f>
        <v>2357</v>
      </c>
      <c r="G20" s="620">
        <f t="shared" ref="G20:M20" si="4">G18-G19</f>
        <v>2137</v>
      </c>
      <c r="H20" s="620">
        <f t="shared" si="4"/>
        <v>1898</v>
      </c>
      <c r="I20" s="620">
        <f t="shared" si="4"/>
        <v>1638</v>
      </c>
      <c r="J20" s="620">
        <f t="shared" si="4"/>
        <v>1353</v>
      </c>
      <c r="K20" s="620">
        <f t="shared" si="4"/>
        <v>1041</v>
      </c>
      <c r="L20" s="620">
        <f t="shared" si="4"/>
        <v>696</v>
      </c>
      <c r="M20" s="620">
        <f t="shared" si="4"/>
        <v>316</v>
      </c>
    </row>
    <row r="21" spans="1:14" x14ac:dyDescent="0.25">
      <c r="A21" s="69" t="s">
        <v>484</v>
      </c>
      <c r="B21" s="69"/>
      <c r="C21" s="69"/>
      <c r="D21" s="69"/>
      <c r="E21" s="69"/>
      <c r="F21" s="116">
        <v>1000</v>
      </c>
      <c r="G21" s="116">
        <v>1000</v>
      </c>
      <c r="H21" s="116">
        <v>1000</v>
      </c>
      <c r="I21" s="116">
        <v>1000</v>
      </c>
      <c r="J21" s="116">
        <v>1000</v>
      </c>
      <c r="K21" s="116">
        <v>1000</v>
      </c>
      <c r="L21" s="116">
        <v>1000</v>
      </c>
      <c r="M21" s="116">
        <v>1000</v>
      </c>
    </row>
    <row r="22" spans="1:14" x14ac:dyDescent="0.25">
      <c r="A22" s="69" t="s">
        <v>1259</v>
      </c>
      <c r="B22" s="69"/>
      <c r="C22" s="69"/>
      <c r="D22" s="69"/>
      <c r="E22" s="69"/>
      <c r="F22" s="116">
        <v>0</v>
      </c>
      <c r="G22" s="116">
        <v>0</v>
      </c>
      <c r="H22" s="116">
        <v>0</v>
      </c>
      <c r="I22" s="116">
        <v>0</v>
      </c>
      <c r="J22" s="116">
        <v>0</v>
      </c>
      <c r="K22" s="116">
        <v>0</v>
      </c>
      <c r="L22" s="116">
        <v>0</v>
      </c>
      <c r="M22" s="116">
        <v>0</v>
      </c>
    </row>
    <row r="23" spans="1:14" x14ac:dyDescent="0.25">
      <c r="A23" s="69" t="s">
        <v>1260</v>
      </c>
      <c r="B23" s="69"/>
      <c r="C23" s="69"/>
      <c r="D23" s="69"/>
      <c r="E23" s="69"/>
      <c r="F23" s="116">
        <v>-80</v>
      </c>
      <c r="G23" s="116">
        <v>0</v>
      </c>
      <c r="H23" s="116">
        <v>0</v>
      </c>
      <c r="I23" s="116">
        <v>0</v>
      </c>
      <c r="J23" s="116">
        <v>0</v>
      </c>
      <c r="K23" s="116">
        <v>0</v>
      </c>
      <c r="L23" s="116">
        <v>0</v>
      </c>
      <c r="M23" s="116">
        <v>0</v>
      </c>
    </row>
    <row r="24" spans="1:14" x14ac:dyDescent="0.25">
      <c r="A24" s="113" t="s">
        <v>809</v>
      </c>
      <c r="B24" s="113"/>
      <c r="C24" s="113"/>
      <c r="D24" s="113"/>
      <c r="E24" s="113"/>
      <c r="F24" s="120">
        <f>SUM(F20:F23)</f>
        <v>3277</v>
      </c>
      <c r="G24" s="120">
        <f t="shared" ref="G24:M24" si="5">SUM(G20:G23)</f>
        <v>3137</v>
      </c>
      <c r="H24" s="120">
        <f t="shared" si="5"/>
        <v>2898</v>
      </c>
      <c r="I24" s="120">
        <f t="shared" si="5"/>
        <v>2638</v>
      </c>
      <c r="J24" s="120">
        <f t="shared" si="5"/>
        <v>2353</v>
      </c>
      <c r="K24" s="120">
        <f t="shared" si="5"/>
        <v>2041</v>
      </c>
      <c r="L24" s="120">
        <f t="shared" si="5"/>
        <v>1696</v>
      </c>
      <c r="M24" s="120">
        <f t="shared" si="5"/>
        <v>1316</v>
      </c>
    </row>
    <row r="25" spans="1:14" x14ac:dyDescent="0.25">
      <c r="A25" s="69" t="s">
        <v>1261</v>
      </c>
      <c r="B25" s="69"/>
      <c r="C25" s="69"/>
      <c r="D25" s="69"/>
      <c r="E25" s="69"/>
      <c r="F25" s="116">
        <v>-336</v>
      </c>
      <c r="G25" s="116">
        <v>-336</v>
      </c>
      <c r="H25" s="116">
        <v>-336</v>
      </c>
      <c r="I25" s="116">
        <v>-336</v>
      </c>
      <c r="J25" s="116">
        <v>-336</v>
      </c>
      <c r="K25" s="116">
        <v>-336</v>
      </c>
      <c r="L25" s="116">
        <v>-288</v>
      </c>
      <c r="M25" s="116">
        <v>-240</v>
      </c>
    </row>
    <row r="26" spans="1:14" x14ac:dyDescent="0.25">
      <c r="A26" s="69" t="s">
        <v>1262</v>
      </c>
      <c r="B26" s="69"/>
      <c r="C26" s="69"/>
      <c r="D26" s="69"/>
      <c r="E26" s="69"/>
      <c r="F26" s="621">
        <v>0</v>
      </c>
      <c r="G26" s="621">
        <v>0</v>
      </c>
      <c r="H26" s="621">
        <v>0</v>
      </c>
      <c r="I26" s="621">
        <v>0</v>
      </c>
      <c r="J26" s="621">
        <v>0</v>
      </c>
      <c r="K26" s="621">
        <v>-1000</v>
      </c>
      <c r="L26" s="621">
        <v>-1000</v>
      </c>
      <c r="M26" s="621">
        <v>-1000</v>
      </c>
    </row>
    <row r="27" spans="1:14" x14ac:dyDescent="0.25">
      <c r="A27" s="113" t="s">
        <v>1167</v>
      </c>
      <c r="B27" s="113"/>
      <c r="C27" s="113"/>
      <c r="D27" s="113"/>
      <c r="E27" s="113"/>
      <c r="F27" s="120">
        <f>SUM(F24:F26)</f>
        <v>2941</v>
      </c>
      <c r="G27" s="120">
        <f t="shared" ref="G27" si="6">SUM(G24:G26)</f>
        <v>2801</v>
      </c>
      <c r="H27" s="120">
        <f t="shared" ref="H27" si="7">SUM(H24:H26)</f>
        <v>2562</v>
      </c>
      <c r="I27" s="120">
        <f t="shared" ref="I27" si="8">SUM(I24:I26)</f>
        <v>2302</v>
      </c>
      <c r="J27" s="120">
        <f t="shared" ref="J27" si="9">SUM(J24:J26)</f>
        <v>2017</v>
      </c>
      <c r="K27" s="120">
        <f t="shared" ref="K27" si="10">SUM(K24:K26)</f>
        <v>705</v>
      </c>
      <c r="L27" s="120">
        <f t="shared" ref="L27" si="11">SUM(L24:L26)</f>
        <v>408</v>
      </c>
      <c r="M27" s="120">
        <f t="shared" ref="M27" si="12">SUM(M24:M26)</f>
        <v>76</v>
      </c>
    </row>
  </sheetData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2F6D6-EF3F-4FAB-97C8-B0DE37E6E69B}">
  <dimension ref="A2:G18"/>
  <sheetViews>
    <sheetView workbookViewId="0">
      <selection activeCell="B2" sqref="B2:G2"/>
    </sheetView>
  </sheetViews>
  <sheetFormatPr defaultRowHeight="15" x14ac:dyDescent="0.25"/>
  <cols>
    <col min="1" max="1" width="29" customWidth="1"/>
    <col min="2" max="2" width="14.85546875" customWidth="1"/>
    <col min="3" max="3" width="17.7109375" customWidth="1"/>
    <col min="4" max="4" width="14.85546875" customWidth="1"/>
  </cols>
  <sheetData>
    <row r="2" spans="1:7" x14ac:dyDescent="0.25">
      <c r="A2" s="187" t="s">
        <v>1231</v>
      </c>
      <c r="B2" s="187"/>
      <c r="C2" s="187"/>
      <c r="D2" s="187"/>
      <c r="E2" s="187"/>
      <c r="F2" s="187"/>
      <c r="G2" s="187"/>
    </row>
    <row r="3" spans="1:7" ht="25.5" x14ac:dyDescent="0.25">
      <c r="A3" s="607" t="s">
        <v>576</v>
      </c>
      <c r="B3" s="608" t="s">
        <v>1241</v>
      </c>
      <c r="C3" s="608" t="s">
        <v>1232</v>
      </c>
      <c r="D3" s="608" t="s">
        <v>1233</v>
      </c>
    </row>
    <row r="4" spans="1:7" x14ac:dyDescent="0.25">
      <c r="A4" s="600" t="s">
        <v>1235</v>
      </c>
      <c r="B4" s="601">
        <v>100000</v>
      </c>
      <c r="C4" s="609">
        <v>0.1</v>
      </c>
      <c r="D4" s="612">
        <f>B4*(1/C4)</f>
        <v>1000000</v>
      </c>
    </row>
    <row r="5" spans="1:7" x14ac:dyDescent="0.25">
      <c r="A5" s="600" t="s">
        <v>1236</v>
      </c>
      <c r="B5" s="601">
        <v>45000</v>
      </c>
      <c r="C5" s="609">
        <v>0.15</v>
      </c>
      <c r="D5" s="612">
        <f>B5*(1/C5)</f>
        <v>300000</v>
      </c>
    </row>
    <row r="6" spans="1:7" x14ac:dyDescent="0.25">
      <c r="A6" s="610" t="s">
        <v>1234</v>
      </c>
      <c r="B6" s="602">
        <f>SUM(B7:B9)</f>
        <v>55000</v>
      </c>
      <c r="C6" s="603"/>
      <c r="D6" s="606">
        <f>SUM(D7:D9)</f>
        <v>450000</v>
      </c>
    </row>
    <row r="7" spans="1:7" x14ac:dyDescent="0.25">
      <c r="A7" s="600" t="s">
        <v>1237</v>
      </c>
      <c r="B7" s="601">
        <v>30000</v>
      </c>
      <c r="C7" s="609">
        <v>0.2</v>
      </c>
      <c r="D7" s="612">
        <f>B7*(1/C7)</f>
        <v>150000</v>
      </c>
    </row>
    <row r="8" spans="1:7" x14ac:dyDescent="0.25">
      <c r="A8" s="600" t="s">
        <v>1238</v>
      </c>
      <c r="B8" s="601">
        <v>10000</v>
      </c>
      <c r="C8" s="609">
        <v>0.05</v>
      </c>
      <c r="D8" s="612">
        <f t="shared" ref="D8:D9" si="0">B8*(1/C8)</f>
        <v>200000</v>
      </c>
    </row>
    <row r="9" spans="1:7" x14ac:dyDescent="0.25">
      <c r="A9" s="600" t="s">
        <v>1239</v>
      </c>
      <c r="B9" s="601">
        <v>15000</v>
      </c>
      <c r="C9" s="609">
        <v>0.15</v>
      </c>
      <c r="D9" s="612">
        <f t="shared" si="0"/>
        <v>100000</v>
      </c>
    </row>
    <row r="10" spans="1:7" x14ac:dyDescent="0.25">
      <c r="A10" s="604" t="s">
        <v>1240</v>
      </c>
      <c r="B10" s="605">
        <f>SUM(B4:B6)</f>
        <v>200000</v>
      </c>
      <c r="C10" s="611"/>
      <c r="D10" s="613">
        <f>SUM(D4:D6)</f>
        <v>1750000</v>
      </c>
    </row>
    <row r="14" spans="1:7" x14ac:dyDescent="0.25">
      <c r="A14" s="567" t="s">
        <v>1242</v>
      </c>
      <c r="B14" s="2"/>
      <c r="C14" s="2"/>
      <c r="D14" s="2"/>
    </row>
    <row r="15" spans="1:7" x14ac:dyDescent="0.25">
      <c r="A15" s="607" t="s">
        <v>576</v>
      </c>
      <c r="B15" s="608" t="s">
        <v>1243</v>
      </c>
      <c r="C15" s="608" t="s">
        <v>1244</v>
      </c>
      <c r="D15" s="608" t="s">
        <v>1236</v>
      </c>
    </row>
    <row r="16" spans="1:7" x14ac:dyDescent="0.25">
      <c r="A16" s="600" t="s">
        <v>1245</v>
      </c>
      <c r="B16" s="601">
        <v>400</v>
      </c>
      <c r="C16" s="609">
        <v>-200</v>
      </c>
      <c r="D16" s="612">
        <v>200</v>
      </c>
    </row>
    <row r="17" spans="1:5" x14ac:dyDescent="0.25">
      <c r="A17" s="600" t="s">
        <v>1246</v>
      </c>
      <c r="B17" s="601">
        <f>B16*$E$17</f>
        <v>76</v>
      </c>
      <c r="C17" s="615">
        <v>0</v>
      </c>
      <c r="D17" s="601">
        <f t="shared" ref="D17" si="1">D16*$E$17</f>
        <v>38</v>
      </c>
      <c r="E17" s="614">
        <v>0.19</v>
      </c>
    </row>
    <row r="18" spans="1:5" x14ac:dyDescent="0.25">
      <c r="A18" s="604" t="s">
        <v>1247</v>
      </c>
      <c r="B18" s="605">
        <f>B16-B17</f>
        <v>324</v>
      </c>
      <c r="C18" s="605">
        <f t="shared" ref="C18:D18" si="2">C16-C17</f>
        <v>-200</v>
      </c>
      <c r="D18" s="605">
        <f t="shared" si="2"/>
        <v>162</v>
      </c>
      <c r="E18" s="616">
        <f>SUM(B18:D18)</f>
        <v>286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110B7-9987-40B5-9C58-112D5736FB6A}">
  <dimension ref="A2:H47"/>
  <sheetViews>
    <sheetView topLeftCell="A4" workbookViewId="0">
      <selection activeCell="A2" sqref="A2:F2"/>
    </sheetView>
  </sheetViews>
  <sheetFormatPr defaultRowHeight="15" x14ac:dyDescent="0.25"/>
  <cols>
    <col min="1" max="1" width="28.5703125" customWidth="1"/>
    <col min="2" max="2" width="26.85546875" customWidth="1"/>
    <col min="3" max="3" width="20" customWidth="1"/>
    <col min="4" max="4" width="18" customWidth="1"/>
    <col min="5" max="5" width="13.140625" customWidth="1"/>
    <col min="6" max="6" width="15.7109375" customWidth="1"/>
  </cols>
  <sheetData>
    <row r="2" spans="1:6" x14ac:dyDescent="0.25">
      <c r="A2" s="187" t="s">
        <v>1374</v>
      </c>
      <c r="B2" s="187"/>
      <c r="C2" s="187"/>
      <c r="D2" s="187"/>
      <c r="E2" s="187"/>
      <c r="F2" s="187"/>
    </row>
    <row r="3" spans="1:6" x14ac:dyDescent="0.25">
      <c r="A3" s="608" t="s">
        <v>576</v>
      </c>
      <c r="B3" s="608" t="s">
        <v>1274</v>
      </c>
    </row>
    <row r="4" spans="1:6" x14ac:dyDescent="0.25">
      <c r="A4" s="600" t="s">
        <v>1282</v>
      </c>
      <c r="B4" s="635">
        <v>100000</v>
      </c>
    </row>
    <row r="6" spans="1:6" ht="33.75" customHeight="1" x14ac:dyDescent="0.25">
      <c r="A6" s="608" t="s">
        <v>383</v>
      </c>
      <c r="B6" s="608" t="s">
        <v>1277</v>
      </c>
      <c r="C6" s="608" t="s">
        <v>1278</v>
      </c>
      <c r="D6" s="608" t="s">
        <v>1279</v>
      </c>
      <c r="E6" s="608" t="s">
        <v>1280</v>
      </c>
      <c r="F6" s="608" t="s">
        <v>1281</v>
      </c>
    </row>
    <row r="7" spans="1:6" ht="25.5" customHeight="1" x14ac:dyDescent="0.25">
      <c r="A7" s="600" t="s">
        <v>1282</v>
      </c>
      <c r="B7" s="600" t="s">
        <v>1283</v>
      </c>
      <c r="C7" s="600" t="s">
        <v>1284</v>
      </c>
      <c r="D7" s="600" t="s">
        <v>1285</v>
      </c>
      <c r="E7" s="600" t="s">
        <v>1287</v>
      </c>
      <c r="F7" s="600" t="s">
        <v>1288</v>
      </c>
    </row>
    <row r="8" spans="1:6" x14ac:dyDescent="0.25">
      <c r="A8" s="600"/>
      <c r="B8" s="600"/>
      <c r="C8" s="600"/>
      <c r="D8" s="600" t="s">
        <v>1286</v>
      </c>
      <c r="E8" s="600"/>
      <c r="F8" s="600"/>
    </row>
    <row r="9" spans="1:6" x14ac:dyDescent="0.25">
      <c r="A9" s="600" t="s">
        <v>1289</v>
      </c>
      <c r="B9" s="600" t="s">
        <v>1290</v>
      </c>
      <c r="C9" s="600" t="s">
        <v>1284</v>
      </c>
      <c r="D9" s="600" t="s">
        <v>1291</v>
      </c>
      <c r="E9" s="600" t="s">
        <v>1293</v>
      </c>
      <c r="F9" s="600" t="s">
        <v>1294</v>
      </c>
    </row>
    <row r="10" spans="1:6" x14ac:dyDescent="0.25">
      <c r="A10" s="600"/>
      <c r="B10" s="600"/>
      <c r="C10" s="600"/>
      <c r="D10" s="600" t="s">
        <v>1292</v>
      </c>
      <c r="E10" s="600"/>
      <c r="F10" s="600"/>
    </row>
    <row r="11" spans="1:6" ht="15" customHeight="1" x14ac:dyDescent="0.25">
      <c r="A11" s="600" t="s">
        <v>1295</v>
      </c>
      <c r="B11" s="600" t="s">
        <v>1283</v>
      </c>
      <c r="C11" s="600" t="s">
        <v>1296</v>
      </c>
      <c r="D11" s="600" t="s">
        <v>1297</v>
      </c>
      <c r="E11" s="600" t="s">
        <v>1299</v>
      </c>
      <c r="F11" s="600" t="s">
        <v>1300</v>
      </c>
    </row>
    <row r="12" spans="1:6" x14ac:dyDescent="0.25">
      <c r="A12" s="600"/>
      <c r="B12" s="600"/>
      <c r="C12" s="600"/>
      <c r="D12" s="600" t="s">
        <v>1298</v>
      </c>
      <c r="E12" s="600"/>
      <c r="F12" s="600"/>
    </row>
    <row r="13" spans="1:6" ht="17.25" customHeight="1" x14ac:dyDescent="0.25">
      <c r="A13" s="600" t="s">
        <v>1301</v>
      </c>
      <c r="B13" s="600" t="s">
        <v>1302</v>
      </c>
      <c r="C13" s="600" t="s">
        <v>1284</v>
      </c>
      <c r="D13" s="600" t="s">
        <v>1303</v>
      </c>
      <c r="E13" s="600" t="s">
        <v>1305</v>
      </c>
      <c r="F13" s="600" t="s">
        <v>1306</v>
      </c>
    </row>
    <row r="14" spans="1:6" ht="17.25" customHeight="1" x14ac:dyDescent="0.25">
      <c r="A14" s="600"/>
      <c r="B14" s="600"/>
      <c r="C14" s="600"/>
      <c r="D14" s="600" t="s">
        <v>1304</v>
      </c>
      <c r="E14" s="600"/>
      <c r="F14" s="600"/>
    </row>
    <row r="15" spans="1:6" ht="14.25" customHeight="1" x14ac:dyDescent="0.25">
      <c r="A15" s="600" t="s">
        <v>1307</v>
      </c>
      <c r="B15" s="600" t="s">
        <v>1308</v>
      </c>
      <c r="C15" s="600" t="s">
        <v>1309</v>
      </c>
      <c r="D15" s="600" t="s">
        <v>1310</v>
      </c>
      <c r="E15" s="600" t="s">
        <v>1288</v>
      </c>
      <c r="F15" s="600" t="s">
        <v>1312</v>
      </c>
    </row>
    <row r="16" spans="1:6" x14ac:dyDescent="0.25">
      <c r="A16" s="600"/>
      <c r="B16" s="600"/>
      <c r="C16" s="600"/>
      <c r="D16" s="600" t="s">
        <v>1311</v>
      </c>
      <c r="E16" s="600"/>
      <c r="F16" s="600"/>
    </row>
    <row r="17" spans="1:7" ht="15" customHeight="1" x14ac:dyDescent="0.25">
      <c r="A17" s="600" t="s">
        <v>1313</v>
      </c>
      <c r="B17" s="600" t="s">
        <v>1283</v>
      </c>
      <c r="C17" s="600" t="s">
        <v>1284</v>
      </c>
      <c r="D17" s="600" t="s">
        <v>1291</v>
      </c>
      <c r="E17" s="600" t="s">
        <v>1314</v>
      </c>
      <c r="F17" s="600" t="s">
        <v>1315</v>
      </c>
    </row>
    <row r="18" spans="1:7" x14ac:dyDescent="0.25">
      <c r="A18" s="600"/>
      <c r="B18" s="600"/>
      <c r="C18" s="600"/>
      <c r="D18" s="600" t="s">
        <v>1304</v>
      </c>
      <c r="E18" s="600"/>
      <c r="F18" s="600"/>
    </row>
    <row r="19" spans="1:7" ht="14.25" customHeight="1" x14ac:dyDescent="0.25">
      <c r="A19" s="600" t="s">
        <v>1316</v>
      </c>
      <c r="B19" s="600" t="s">
        <v>1283</v>
      </c>
      <c r="C19" s="600" t="s">
        <v>1317</v>
      </c>
      <c r="D19" s="600" t="s">
        <v>1318</v>
      </c>
      <c r="E19" s="600" t="s">
        <v>1320</v>
      </c>
      <c r="F19" s="600" t="s">
        <v>1321</v>
      </c>
    </row>
    <row r="20" spans="1:7" x14ac:dyDescent="0.25">
      <c r="A20" s="600"/>
      <c r="B20" s="600"/>
      <c r="C20" s="600"/>
      <c r="D20" s="600" t="s">
        <v>1319</v>
      </c>
      <c r="E20" s="600"/>
      <c r="F20" s="600"/>
    </row>
    <row r="21" spans="1:7" ht="15" customHeight="1" x14ac:dyDescent="0.25">
      <c r="A21" s="600" t="s">
        <v>1322</v>
      </c>
      <c r="B21" s="600" t="s">
        <v>1283</v>
      </c>
      <c r="C21" s="600" t="s">
        <v>1323</v>
      </c>
      <c r="D21" s="600" t="s">
        <v>1324</v>
      </c>
      <c r="E21" s="600" t="s">
        <v>1326</v>
      </c>
      <c r="F21" s="600" t="s">
        <v>1327</v>
      </c>
    </row>
    <row r="22" spans="1:7" x14ac:dyDescent="0.25">
      <c r="A22" s="600"/>
      <c r="B22" s="600"/>
      <c r="C22" s="600"/>
      <c r="D22" s="600" t="s">
        <v>1325</v>
      </c>
      <c r="E22" s="600"/>
      <c r="F22" s="600"/>
    </row>
    <row r="23" spans="1:7" ht="15" customHeight="1" x14ac:dyDescent="0.25">
      <c r="A23" s="600" t="s">
        <v>1328</v>
      </c>
      <c r="B23" s="600" t="s">
        <v>1329</v>
      </c>
      <c r="C23" s="600" t="s">
        <v>1284</v>
      </c>
      <c r="D23" s="600" t="s">
        <v>1330</v>
      </c>
      <c r="E23" s="600" t="s">
        <v>1300</v>
      </c>
      <c r="F23" s="600" t="s">
        <v>1332</v>
      </c>
    </row>
    <row r="24" spans="1:7" x14ac:dyDescent="0.25">
      <c r="A24" s="600"/>
      <c r="B24" s="600"/>
      <c r="C24" s="600"/>
      <c r="D24" s="600" t="s">
        <v>1331</v>
      </c>
      <c r="E24" s="600"/>
      <c r="F24" s="600"/>
    </row>
    <row r="25" spans="1:7" ht="15" customHeight="1" x14ac:dyDescent="0.25">
      <c r="A25" s="600" t="s">
        <v>1333</v>
      </c>
      <c r="B25" s="600" t="s">
        <v>1334</v>
      </c>
      <c r="C25" s="600" t="s">
        <v>1335</v>
      </c>
      <c r="D25" s="600" t="s">
        <v>1336</v>
      </c>
      <c r="E25" s="600" t="s">
        <v>1321</v>
      </c>
      <c r="F25" s="600" t="s">
        <v>1342</v>
      </c>
    </row>
    <row r="26" spans="1:7" x14ac:dyDescent="0.25">
      <c r="A26" s="600"/>
      <c r="B26" s="600"/>
      <c r="C26" s="600"/>
      <c r="D26" s="600" t="s">
        <v>1304</v>
      </c>
      <c r="E26" s="600"/>
      <c r="F26" s="600"/>
    </row>
    <row r="27" spans="1:7" ht="15" customHeight="1" x14ac:dyDescent="0.25">
      <c r="A27" s="600" t="s">
        <v>1337</v>
      </c>
      <c r="B27" s="600" t="s">
        <v>1283</v>
      </c>
      <c r="C27" s="600" t="s">
        <v>1284</v>
      </c>
      <c r="D27" s="600" t="s">
        <v>1338</v>
      </c>
      <c r="E27" s="600" t="s">
        <v>1340</v>
      </c>
      <c r="F27" s="600" t="s">
        <v>1341</v>
      </c>
    </row>
    <row r="28" spans="1:7" x14ac:dyDescent="0.25">
      <c r="A28" s="600"/>
      <c r="B28" s="600"/>
      <c r="C28" s="600"/>
      <c r="D28" s="600" t="s">
        <v>1339</v>
      </c>
      <c r="E28" s="600"/>
      <c r="F28" s="600"/>
    </row>
    <row r="32" spans="1:7" ht="25.5" x14ac:dyDescent="0.25">
      <c r="A32" s="608" t="s">
        <v>383</v>
      </c>
      <c r="B32" s="608" t="s">
        <v>332</v>
      </c>
      <c r="C32" s="608" t="s">
        <v>333</v>
      </c>
      <c r="D32" s="608" t="s">
        <v>1343</v>
      </c>
      <c r="E32" s="608" t="s">
        <v>1345</v>
      </c>
      <c r="F32" s="608" t="s">
        <v>778</v>
      </c>
      <c r="G32" s="608" t="s">
        <v>948</v>
      </c>
    </row>
    <row r="33" spans="1:8" ht="25.5" x14ac:dyDescent="0.25">
      <c r="A33" s="608"/>
      <c r="B33" s="608"/>
      <c r="C33" s="608"/>
      <c r="D33" s="608" t="s">
        <v>1344</v>
      </c>
      <c r="E33" s="608" t="s">
        <v>1346</v>
      </c>
      <c r="F33" s="608" t="s">
        <v>1347</v>
      </c>
      <c r="G33" s="608"/>
    </row>
    <row r="34" spans="1:8" x14ac:dyDescent="0.25">
      <c r="A34" s="600" t="s">
        <v>1282</v>
      </c>
      <c r="B34" s="632">
        <v>1000000</v>
      </c>
      <c r="C34" s="600">
        <v>5.8999999999999997E-2</v>
      </c>
      <c r="D34" s="635">
        <v>17000000</v>
      </c>
      <c r="E34" s="635">
        <v>7500000</v>
      </c>
      <c r="F34" s="632" t="s">
        <v>1348</v>
      </c>
      <c r="G34" s="600"/>
    </row>
    <row r="35" spans="1:8" x14ac:dyDescent="0.25">
      <c r="A35" s="600" t="s">
        <v>1289</v>
      </c>
      <c r="B35" s="632">
        <v>200000</v>
      </c>
      <c r="C35" s="600">
        <v>0.01</v>
      </c>
      <c r="D35" s="635">
        <v>21000000</v>
      </c>
      <c r="E35" s="635">
        <v>3000000</v>
      </c>
      <c r="F35" s="635">
        <v>20000000</v>
      </c>
      <c r="G35" s="636">
        <f>F35/B35</f>
        <v>100</v>
      </c>
    </row>
    <row r="36" spans="1:8" x14ac:dyDescent="0.25">
      <c r="A36" s="600" t="s">
        <v>1313</v>
      </c>
      <c r="B36" s="632">
        <v>1500000</v>
      </c>
      <c r="C36" s="600">
        <v>4.8000000000000001E-2</v>
      </c>
      <c r="D36" s="635">
        <v>31000000</v>
      </c>
      <c r="E36" s="635">
        <v>16000000</v>
      </c>
      <c r="F36" s="635">
        <v>28000000</v>
      </c>
      <c r="G36" s="636">
        <f t="shared" ref="G36:G38" si="0">F36/B36</f>
        <v>18.666666666666668</v>
      </c>
    </row>
    <row r="37" spans="1:8" x14ac:dyDescent="0.25">
      <c r="A37" s="600" t="s">
        <v>1316</v>
      </c>
      <c r="B37" s="632">
        <v>2000000</v>
      </c>
      <c r="C37" s="600">
        <v>9.0999999999999998E-2</v>
      </c>
      <c r="D37" s="635">
        <v>22000000</v>
      </c>
      <c r="E37" s="635">
        <v>20000000</v>
      </c>
      <c r="F37" s="635">
        <v>25000000</v>
      </c>
      <c r="G37" s="636">
        <f t="shared" si="0"/>
        <v>12.5</v>
      </c>
    </row>
    <row r="38" spans="1:8" x14ac:dyDescent="0.25">
      <c r="A38" s="600" t="s">
        <v>1328</v>
      </c>
      <c r="B38" s="632">
        <v>750000</v>
      </c>
      <c r="C38" s="600">
        <v>7.4999999999999997E-2</v>
      </c>
      <c r="D38" s="635">
        <v>10000000</v>
      </c>
      <c r="E38" s="635">
        <v>8000000</v>
      </c>
      <c r="F38" s="635">
        <v>12000000</v>
      </c>
      <c r="G38" s="636">
        <f t="shared" si="0"/>
        <v>16</v>
      </c>
    </row>
    <row r="39" spans="1:8" x14ac:dyDescent="0.25">
      <c r="A39" s="600" t="s">
        <v>1337</v>
      </c>
      <c r="B39" s="632">
        <v>700000</v>
      </c>
      <c r="C39" s="600">
        <v>2.5000000000000001E-2</v>
      </c>
      <c r="D39" s="635">
        <v>28000000</v>
      </c>
      <c r="E39" s="635">
        <v>7000000</v>
      </c>
      <c r="F39" s="635">
        <v>26000000</v>
      </c>
      <c r="G39" s="636">
        <f>F39/B39</f>
        <v>37.142857142857146</v>
      </c>
    </row>
    <row r="40" spans="1:8" s="630" customFormat="1" ht="29.25" customHeight="1" x14ac:dyDescent="0.25">
      <c r="A40" s="631" t="s">
        <v>1349</v>
      </c>
      <c r="B40" s="633">
        <f>AVERAGE(B35:B39)</f>
        <v>1030000</v>
      </c>
      <c r="C40" s="634">
        <f t="shared" ref="C40:F40" si="1">AVERAGE(C35:C39)</f>
        <v>4.9799999999999997E-2</v>
      </c>
      <c r="D40" s="633">
        <f t="shared" si="1"/>
        <v>22400000</v>
      </c>
      <c r="E40" s="633">
        <f t="shared" si="1"/>
        <v>10800000</v>
      </c>
      <c r="F40" s="633">
        <f t="shared" si="1"/>
        <v>22200000</v>
      </c>
      <c r="G40" s="640">
        <f>AVERAGE(G35:G39)</f>
        <v>36.861904761904768</v>
      </c>
      <c r="H40" s="641"/>
    </row>
    <row r="41" spans="1:8" s="630" customFormat="1" ht="29.25" customHeight="1" x14ac:dyDescent="0.25">
      <c r="A41" s="631" t="s">
        <v>1352</v>
      </c>
      <c r="B41" s="633">
        <f>MEDIAN(B35:B39)</f>
        <v>750000</v>
      </c>
      <c r="C41" s="634">
        <f t="shared" ref="C41:G41" si="2">MEDIAN(C35:C39)</f>
        <v>4.8000000000000001E-2</v>
      </c>
      <c r="D41" s="633">
        <f t="shared" si="2"/>
        <v>22000000</v>
      </c>
      <c r="E41" s="633">
        <f t="shared" si="2"/>
        <v>8000000</v>
      </c>
      <c r="F41" s="633">
        <f t="shared" si="2"/>
        <v>25000000</v>
      </c>
      <c r="G41" s="648">
        <f t="shared" si="2"/>
        <v>18.666666666666668</v>
      </c>
      <c r="H41" s="641"/>
    </row>
    <row r="42" spans="1:8" s="630" customFormat="1" ht="29.25" customHeight="1" x14ac:dyDescent="0.25">
      <c r="A42" s="631" t="s">
        <v>1351</v>
      </c>
      <c r="B42" s="633"/>
      <c r="C42" s="634"/>
      <c r="D42" s="633"/>
      <c r="E42" s="633"/>
      <c r="F42" s="633" t="s">
        <v>994</v>
      </c>
      <c r="G42" s="640">
        <f>F40/B40</f>
        <v>21.553398058252426</v>
      </c>
      <c r="H42" s="641"/>
    </row>
    <row r="43" spans="1:8" s="647" customFormat="1" ht="29.25" customHeight="1" x14ac:dyDescent="0.25">
      <c r="A43" s="642"/>
      <c r="B43" s="643"/>
      <c r="C43" s="644"/>
      <c r="D43" s="643"/>
      <c r="E43" s="643"/>
      <c r="F43" s="643"/>
      <c r="G43" s="645"/>
      <c r="H43" s="646"/>
    </row>
    <row r="45" spans="1:8" x14ac:dyDescent="0.25">
      <c r="A45" s="608" t="s">
        <v>576</v>
      </c>
      <c r="B45" s="608" t="s">
        <v>1158</v>
      </c>
    </row>
    <row r="46" spans="1:8" x14ac:dyDescent="0.25">
      <c r="A46" s="600" t="s">
        <v>778</v>
      </c>
      <c r="B46" s="632">
        <f>B34*G41</f>
        <v>18666666.666666668</v>
      </c>
    </row>
    <row r="47" spans="1:8" x14ac:dyDescent="0.25">
      <c r="A47" s="638" t="s">
        <v>1350</v>
      </c>
      <c r="B47" s="649">
        <f>B46/B4</f>
        <v>186.66666666666669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C1A43-50BE-480C-A795-35558E5B68BF}">
  <dimension ref="A3:I33"/>
  <sheetViews>
    <sheetView zoomScale="80" zoomScaleNormal="80" workbookViewId="0">
      <selection activeCell="F16" sqref="F16"/>
    </sheetView>
  </sheetViews>
  <sheetFormatPr defaultRowHeight="15" x14ac:dyDescent="0.25"/>
  <cols>
    <col min="6" max="9" width="11.28515625" bestFit="1" customWidth="1"/>
  </cols>
  <sheetData>
    <row r="3" spans="1:9" x14ac:dyDescent="0.25">
      <c r="A3" s="806" t="s">
        <v>1516</v>
      </c>
      <c r="B3" s="806"/>
      <c r="C3" s="806"/>
      <c r="D3" s="806"/>
      <c r="E3" s="806"/>
      <c r="F3" s="505">
        <f>Rozvaha!D1</f>
        <v>2013</v>
      </c>
      <c r="G3" s="505">
        <f>Rozvaha!E1</f>
        <v>2014</v>
      </c>
      <c r="H3" s="505">
        <f>Rozvaha!F1</f>
        <v>2015</v>
      </c>
      <c r="I3" s="505">
        <f>Rozvaha!G1</f>
        <v>2016</v>
      </c>
    </row>
    <row r="4" spans="1:9" x14ac:dyDescent="0.25">
      <c r="A4" s="720" t="s">
        <v>599</v>
      </c>
      <c r="B4" s="720"/>
      <c r="C4" s="720"/>
      <c r="D4" s="720"/>
      <c r="E4" s="720"/>
      <c r="F4" s="506">
        <f>Rozvaha!C58</f>
        <v>12331</v>
      </c>
      <c r="G4" s="506">
        <f>Rozvaha!D58</f>
        <v>22977</v>
      </c>
      <c r="H4" s="506">
        <f>Rozvaha!E58</f>
        <v>32331</v>
      </c>
      <c r="I4" s="506">
        <f>Rozvaha!F58</f>
        <v>43058</v>
      </c>
    </row>
    <row r="5" spans="1:9" x14ac:dyDescent="0.25">
      <c r="A5" s="722" t="s">
        <v>628</v>
      </c>
      <c r="B5" s="722"/>
      <c r="C5" s="722"/>
      <c r="D5" s="722"/>
      <c r="E5" s="722"/>
      <c r="F5" s="722"/>
      <c r="G5" s="722"/>
      <c r="H5" s="722"/>
      <c r="I5" s="722"/>
    </row>
    <row r="6" spans="1:9" x14ac:dyDescent="0.25">
      <c r="A6" s="720" t="s">
        <v>600</v>
      </c>
      <c r="B6" s="720"/>
      <c r="C6" s="720"/>
      <c r="D6" s="720"/>
      <c r="E6" s="720"/>
      <c r="F6" s="516">
        <f>VZZ!D63</f>
        <v>28960</v>
      </c>
      <c r="G6" s="516">
        <f>VZZ!E63</f>
        <v>12998</v>
      </c>
      <c r="H6" s="516">
        <f>VZZ!F63</f>
        <v>41849</v>
      </c>
      <c r="I6" s="516">
        <f>VZZ!G63</f>
        <v>51968</v>
      </c>
    </row>
    <row r="7" spans="1:9" x14ac:dyDescent="0.25">
      <c r="A7" s="720" t="s">
        <v>601</v>
      </c>
      <c r="B7" s="720"/>
      <c r="C7" s="720"/>
      <c r="D7" s="720"/>
      <c r="E7" s="720"/>
      <c r="F7" s="516">
        <f>SUM(F8:F10)</f>
        <v>26906</v>
      </c>
      <c r="G7" s="516">
        <f t="shared" ref="G7:I7" si="0">SUM(G8:G10)</f>
        <v>41244</v>
      </c>
      <c r="H7" s="516">
        <f t="shared" si="0"/>
        <v>31158</v>
      </c>
      <c r="I7" s="516">
        <f t="shared" si="0"/>
        <v>46466</v>
      </c>
    </row>
    <row r="8" spans="1:9" x14ac:dyDescent="0.25">
      <c r="A8" s="721" t="s">
        <v>602</v>
      </c>
      <c r="B8" s="721"/>
      <c r="C8" s="721"/>
      <c r="D8" s="721"/>
      <c r="E8" s="721"/>
      <c r="F8" s="517">
        <f>VZZ!D19</f>
        <v>23096</v>
      </c>
      <c r="G8" s="517">
        <f>VZZ!E19</f>
        <v>35640</v>
      </c>
      <c r="H8" s="517">
        <f>VZZ!F19</f>
        <v>45310</v>
      </c>
      <c r="I8" s="517">
        <f>VZZ!G19</f>
        <v>45372</v>
      </c>
    </row>
    <row r="9" spans="1:9" x14ac:dyDescent="0.25">
      <c r="A9" s="721" t="s">
        <v>603</v>
      </c>
      <c r="B9" s="721"/>
      <c r="C9" s="721"/>
      <c r="D9" s="721"/>
      <c r="E9" s="721"/>
      <c r="F9" s="517">
        <f>Rozvaha!D87-Rozvaha!C87</f>
        <v>3810</v>
      </c>
      <c r="G9" s="517">
        <f>Rozvaha!E87-Rozvaha!D87</f>
        <v>5604</v>
      </c>
      <c r="H9" s="517">
        <f>Rozvaha!F87-Rozvaha!E87</f>
        <v>-5438</v>
      </c>
      <c r="I9" s="517">
        <f>Rozvaha!G87-Rozvaha!F87</f>
        <v>1094</v>
      </c>
    </row>
    <row r="10" spans="1:9" x14ac:dyDescent="0.25">
      <c r="A10" s="721" t="s">
        <v>604</v>
      </c>
      <c r="B10" s="721"/>
      <c r="C10" s="721"/>
      <c r="D10" s="721"/>
      <c r="E10" s="721"/>
      <c r="F10" s="517">
        <f>VZZ!D21-VZZ!D24</f>
        <v>0</v>
      </c>
      <c r="G10" s="517">
        <f>VZZ!E21-VZZ!E24</f>
        <v>0</v>
      </c>
      <c r="H10" s="517">
        <f>-(VZZ!F21-VZZ!F24)</f>
        <v>-8714</v>
      </c>
      <c r="I10" s="517">
        <f>VZZ!G21-VZZ!G24</f>
        <v>0</v>
      </c>
    </row>
    <row r="11" spans="1:9" x14ac:dyDescent="0.25">
      <c r="A11" s="720" t="s">
        <v>605</v>
      </c>
      <c r="B11" s="720"/>
      <c r="C11" s="720"/>
      <c r="D11" s="720"/>
      <c r="E11" s="720"/>
      <c r="F11" s="516">
        <f>SUM(F12:F15)</f>
        <v>23388.399999999994</v>
      </c>
      <c r="G11" s="516">
        <f t="shared" ref="G11:I11" si="1">SUM(G12:G15)</f>
        <v>-5970</v>
      </c>
      <c r="H11" s="516">
        <f t="shared" si="1"/>
        <v>-1614</v>
      </c>
      <c r="I11" s="516">
        <f t="shared" si="1"/>
        <v>-15856</v>
      </c>
    </row>
    <row r="12" spans="1:9" x14ac:dyDescent="0.25">
      <c r="A12" s="721" t="s">
        <v>606</v>
      </c>
      <c r="B12" s="721"/>
      <c r="C12" s="721"/>
      <c r="D12" s="721"/>
      <c r="E12" s="721"/>
      <c r="F12" s="517">
        <f>-(Rozvaha!D40-Rozvaha!C40+Rozvaha!D63-Rozvaha!C63)</f>
        <v>-1982</v>
      </c>
      <c r="G12" s="517">
        <f>-(Rozvaha!E40-Rozvaha!D40+Rozvaha!E63-Rozvaha!D63)</f>
        <v>-1490</v>
      </c>
      <c r="H12" s="517">
        <f>-(Rozvaha!F40-Rozvaha!E40+Rozvaha!F63-Rozvaha!E63)</f>
        <v>-6208</v>
      </c>
      <c r="I12" s="517">
        <f>-(Rozvaha!G40-Rozvaha!F40+Rozvaha!G63-Rozvaha!F63)</f>
        <v>-16942</v>
      </c>
    </row>
    <row r="13" spans="1:9" x14ac:dyDescent="0.25">
      <c r="A13" s="721" t="s">
        <v>607</v>
      </c>
      <c r="B13" s="721"/>
      <c r="C13" s="721"/>
      <c r="D13" s="721"/>
      <c r="E13" s="721"/>
      <c r="F13" s="517">
        <f>(Rozvaha!D103-Rozvaha!C103+(Rozvaha!D119-Rozvaha!C119))</f>
        <v>54266</v>
      </c>
      <c r="G13" s="517">
        <f>(Rozvaha!E103-Rozvaha!D103+(Rozvaha!E119-Rozvaha!D119))</f>
        <v>-3644</v>
      </c>
      <c r="H13" s="517">
        <f>(Rozvaha!F103-Rozvaha!E103+(Rozvaha!F119-Rozvaha!E119))</f>
        <v>7484</v>
      </c>
      <c r="I13" s="517">
        <f>(Rozvaha!G103-Rozvaha!F103+(Rozvaha!G119-Rozvaha!F119))</f>
        <v>5986</v>
      </c>
    </row>
    <row r="14" spans="1:9" x14ac:dyDescent="0.25">
      <c r="A14" s="721" t="s">
        <v>608</v>
      </c>
      <c r="B14" s="721"/>
      <c r="C14" s="721"/>
      <c r="D14" s="721"/>
      <c r="E14" s="721"/>
      <c r="F14" s="517">
        <f>-(Rozvaha!D33-Rozvaha!C33)</f>
        <v>-28895.600000000006</v>
      </c>
      <c r="G14" s="517">
        <f>-(Rozvaha!E33-Rozvaha!D33)</f>
        <v>-836</v>
      </c>
      <c r="H14" s="517">
        <f>-(Rozvaha!F33-Rozvaha!E33)</f>
        <v>-2890</v>
      </c>
      <c r="I14" s="517">
        <f>-(Rozvaha!G33-Rozvaha!F33)</f>
        <v>-4900</v>
      </c>
    </row>
    <row r="15" spans="1:9" x14ac:dyDescent="0.25">
      <c r="A15" s="721" t="s">
        <v>609</v>
      </c>
      <c r="B15" s="721"/>
      <c r="C15" s="721"/>
      <c r="D15" s="721"/>
      <c r="E15" s="721"/>
      <c r="F15" s="517">
        <f>-(Rozvaha!D61-Rozvaha!C61)</f>
        <v>0</v>
      </c>
      <c r="G15" s="517">
        <f>-(Rozvaha!E61-Rozvaha!D61)</f>
        <v>0</v>
      </c>
      <c r="H15" s="517">
        <f>-(Rozvaha!F61-Rozvaha!E61)</f>
        <v>0</v>
      </c>
      <c r="I15" s="517">
        <f>-(Rozvaha!G61-Rozvaha!F61)</f>
        <v>0</v>
      </c>
    </row>
    <row r="16" spans="1:9" x14ac:dyDescent="0.25">
      <c r="A16" s="719" t="s">
        <v>610</v>
      </c>
      <c r="B16" s="719"/>
      <c r="C16" s="719"/>
      <c r="D16" s="719"/>
      <c r="E16" s="719"/>
      <c r="F16" s="507">
        <f>F6+F7+F11</f>
        <v>79254.399999999994</v>
      </c>
      <c r="G16" s="507">
        <f t="shared" ref="G16:H16" si="2">G6+G7+G11</f>
        <v>48272</v>
      </c>
      <c r="H16" s="507">
        <f t="shared" si="2"/>
        <v>71393</v>
      </c>
      <c r="I16" s="507">
        <f>I6+I7+I11</f>
        <v>82578</v>
      </c>
    </row>
    <row r="17" spans="1:9" x14ac:dyDescent="0.25">
      <c r="A17" s="722" t="s">
        <v>611</v>
      </c>
      <c r="B17" s="722"/>
      <c r="C17" s="722"/>
      <c r="D17" s="722"/>
      <c r="E17" s="722"/>
      <c r="F17" s="722"/>
      <c r="G17" s="722"/>
      <c r="H17" s="722"/>
      <c r="I17" s="722"/>
    </row>
    <row r="18" spans="1:9" x14ac:dyDescent="0.25">
      <c r="A18" s="720" t="s">
        <v>612</v>
      </c>
      <c r="B18" s="720"/>
      <c r="C18" s="720"/>
      <c r="D18" s="720"/>
      <c r="E18" s="720"/>
      <c r="F18" s="518">
        <f>SUM(F19:F20)</f>
        <v>-89945.599999999977</v>
      </c>
      <c r="G18" s="518">
        <f t="shared" ref="G18:I18" si="3">SUM(G19:G20)</f>
        <v>-31326</v>
      </c>
      <c r="H18" s="518">
        <f t="shared" si="3"/>
        <v>-45068</v>
      </c>
      <c r="I18" s="518">
        <f t="shared" si="3"/>
        <v>-78310</v>
      </c>
    </row>
    <row r="19" spans="1:9" x14ac:dyDescent="0.25">
      <c r="A19" s="721" t="s">
        <v>613</v>
      </c>
      <c r="B19" s="721"/>
      <c r="C19" s="721"/>
      <c r="D19" s="721"/>
      <c r="E19" s="721"/>
      <c r="F19" s="519">
        <f>-(Rozvaha!D5-Rozvaha!C5+Rozvaha!D14-Rozvaha!C14+VZZ!D19+VZZ!D24)</f>
        <v>-89945.599999999977</v>
      </c>
      <c r="G19" s="519">
        <f>-(Rozvaha!E5-Rozvaha!D5+Rozvaha!E14-Rozvaha!D14+VZZ!E19+VZZ!E24)</f>
        <v>-31326</v>
      </c>
      <c r="H19" s="519">
        <f>-(Rozvaha!F5-Rozvaha!E5+Rozvaha!F14-Rozvaha!E14+VZZ!F19+VZZ!F24)</f>
        <v>-37068</v>
      </c>
      <c r="I19" s="519">
        <f>-(Rozvaha!G5-Rozvaha!F5+Rozvaha!G14-Rozvaha!F14+VZZ!G19+VZZ!G24)</f>
        <v>-79078</v>
      </c>
    </row>
    <row r="20" spans="1:9" x14ac:dyDescent="0.25">
      <c r="A20" s="721" t="s">
        <v>614</v>
      </c>
      <c r="B20" s="721"/>
      <c r="C20" s="721"/>
      <c r="D20" s="721"/>
      <c r="E20" s="721"/>
      <c r="F20" s="519">
        <f>-(Rozvaha!D24-Rozvaha!C24)</f>
        <v>0</v>
      </c>
      <c r="G20" s="519">
        <f>-(Rozvaha!E24-Rozvaha!D24)</f>
        <v>0</v>
      </c>
      <c r="H20" s="519">
        <f>-(Rozvaha!F24-Rozvaha!E24)</f>
        <v>-8000</v>
      </c>
      <c r="I20" s="519">
        <f>-(Rozvaha!G24-Rozvaha!F24)</f>
        <v>768</v>
      </c>
    </row>
    <row r="21" spans="1:9" x14ac:dyDescent="0.25">
      <c r="A21" s="720" t="s">
        <v>615</v>
      </c>
      <c r="B21" s="720"/>
      <c r="C21" s="720"/>
      <c r="D21" s="720"/>
      <c r="E21" s="720"/>
      <c r="F21" s="518">
        <f>VZZ!D21</f>
        <v>0</v>
      </c>
      <c r="G21" s="518">
        <f>VZZ!E21</f>
        <v>0</v>
      </c>
      <c r="H21" s="518">
        <f>VZZ!F21</f>
        <v>15370</v>
      </c>
      <c r="I21" s="518">
        <f>VZZ!G21</f>
        <v>0</v>
      </c>
    </row>
    <row r="22" spans="1:9" s="178" customFormat="1" x14ac:dyDescent="0.25">
      <c r="A22" s="719" t="s">
        <v>616</v>
      </c>
      <c r="B22" s="719"/>
      <c r="C22" s="719"/>
      <c r="D22" s="719"/>
      <c r="E22" s="719"/>
      <c r="F22" s="520">
        <f>F18-F21</f>
        <v>-89945.599999999977</v>
      </c>
      <c r="G22" s="520">
        <f t="shared" ref="G22:I22" si="4">G18-G21</f>
        <v>-31326</v>
      </c>
      <c r="H22" s="520">
        <f>H18+H21</f>
        <v>-29698</v>
      </c>
      <c r="I22" s="520">
        <f t="shared" si="4"/>
        <v>-78310</v>
      </c>
    </row>
    <row r="23" spans="1:9" x14ac:dyDescent="0.25">
      <c r="A23" s="722" t="s">
        <v>617</v>
      </c>
      <c r="B23" s="722"/>
      <c r="C23" s="722"/>
      <c r="D23" s="722"/>
      <c r="E23" s="722"/>
      <c r="F23" s="722"/>
      <c r="G23" s="722"/>
      <c r="H23" s="722"/>
      <c r="I23" s="722"/>
    </row>
    <row r="24" spans="1:9" x14ac:dyDescent="0.25">
      <c r="A24" s="720" t="s">
        <v>618</v>
      </c>
      <c r="B24" s="720"/>
      <c r="C24" s="720"/>
      <c r="D24" s="720"/>
      <c r="E24" s="720"/>
      <c r="F24" s="518">
        <f>SUM(F25:F27)</f>
        <v>31338</v>
      </c>
      <c r="G24" s="518">
        <f t="shared" ref="G24:I24" si="5">SUM(G25:G27)</f>
        <v>4408</v>
      </c>
      <c r="H24" s="518">
        <f t="shared" si="5"/>
        <v>-15968</v>
      </c>
      <c r="I24" s="518">
        <f t="shared" si="5"/>
        <v>19490</v>
      </c>
    </row>
    <row r="25" spans="1:9" x14ac:dyDescent="0.25">
      <c r="A25" s="721" t="s">
        <v>619</v>
      </c>
      <c r="B25" s="721"/>
      <c r="C25" s="721"/>
      <c r="D25" s="721"/>
      <c r="E25" s="721"/>
      <c r="F25" s="519">
        <f>Rozvaha!D116-Rozvaha!C116</f>
        <v>9000</v>
      </c>
      <c r="G25" s="519">
        <f>Rozvaha!E116-Rozvaha!D116</f>
        <v>18366</v>
      </c>
      <c r="H25" s="519">
        <f>Rozvaha!F116-Rozvaha!E116</f>
        <v>21862</v>
      </c>
      <c r="I25" s="519">
        <f>Rozvaha!G116-Rozvaha!F116</f>
        <v>24960</v>
      </c>
    </row>
    <row r="26" spans="1:9" x14ac:dyDescent="0.25">
      <c r="A26" s="721" t="s">
        <v>620</v>
      </c>
      <c r="B26" s="721"/>
      <c r="C26" s="721"/>
      <c r="D26" s="721"/>
      <c r="E26" s="721"/>
      <c r="F26" s="519">
        <f>Rozvaha!D117-Rozvaha!C117</f>
        <v>-2590</v>
      </c>
      <c r="G26" s="519">
        <f>Rozvaha!E117-Rozvaha!D117</f>
        <v>-10384</v>
      </c>
      <c r="H26" s="519">
        <f>Rozvaha!F117-Rozvaha!E117</f>
        <v>-22668</v>
      </c>
      <c r="I26" s="519">
        <f>Rozvaha!G117-Rozvaha!F117</f>
        <v>2490</v>
      </c>
    </row>
    <row r="27" spans="1:9" x14ac:dyDescent="0.25">
      <c r="A27" s="721" t="s">
        <v>621</v>
      </c>
      <c r="B27" s="721"/>
      <c r="C27" s="721"/>
      <c r="D27" s="721"/>
      <c r="E27" s="721"/>
      <c r="F27" s="519">
        <f>Rozvaha!D98-Rozvaha!C98</f>
        <v>24928</v>
      </c>
      <c r="G27" s="519">
        <f>Rozvaha!E98-Rozvaha!D98</f>
        <v>-3574</v>
      </c>
      <c r="H27" s="519">
        <f>Rozvaha!F98-Rozvaha!E98</f>
        <v>-15162</v>
      </c>
      <c r="I27" s="519">
        <f>Rozvaha!G98-Rozvaha!F98</f>
        <v>-7960</v>
      </c>
    </row>
    <row r="28" spans="1:9" x14ac:dyDescent="0.25">
      <c r="A28" s="720" t="s">
        <v>622</v>
      </c>
      <c r="B28" s="720"/>
      <c r="C28" s="720"/>
      <c r="D28" s="720"/>
      <c r="E28" s="720"/>
      <c r="F28" s="518">
        <f>SUM(F29:F30)</f>
        <v>-10000</v>
      </c>
      <c r="G28" s="518">
        <f t="shared" ref="G28:I28" si="6">SUM(G29:G30)</f>
        <v>-12000</v>
      </c>
      <c r="H28" s="518">
        <f t="shared" si="6"/>
        <v>-15000</v>
      </c>
      <c r="I28" s="518">
        <f t="shared" si="6"/>
        <v>-16000</v>
      </c>
    </row>
    <row r="29" spans="1:9" x14ac:dyDescent="0.25">
      <c r="A29" s="721" t="s">
        <v>623</v>
      </c>
      <c r="B29" s="721"/>
      <c r="C29" s="721"/>
      <c r="D29" s="721"/>
      <c r="E29" s="721"/>
      <c r="F29" s="519">
        <f>Rozvaha!D71-Rozvaha!C71</f>
        <v>0</v>
      </c>
      <c r="G29" s="519">
        <f>Rozvaha!E71-Rozvaha!D71</f>
        <v>0</v>
      </c>
      <c r="H29" s="519">
        <f>Rozvaha!F71-Rozvaha!E71</f>
        <v>0</v>
      </c>
      <c r="I29" s="519">
        <f>Rozvaha!G71-Rozvaha!F71</f>
        <v>0</v>
      </c>
    </row>
    <row r="30" spans="1:9" x14ac:dyDescent="0.25">
      <c r="A30" s="721" t="s">
        <v>1515</v>
      </c>
      <c r="B30" s="721"/>
      <c r="C30" s="721"/>
      <c r="D30" s="721"/>
      <c r="E30" s="721"/>
      <c r="F30" s="801">
        <v>-10000</v>
      </c>
      <c r="G30" s="801">
        <v>-12000</v>
      </c>
      <c r="H30" s="801">
        <v>-15000</v>
      </c>
      <c r="I30" s="801">
        <v>-16000</v>
      </c>
    </row>
    <row r="31" spans="1:9" x14ac:dyDescent="0.25">
      <c r="A31" s="719" t="s">
        <v>625</v>
      </c>
      <c r="B31" s="719"/>
      <c r="C31" s="719"/>
      <c r="D31" s="719"/>
      <c r="E31" s="719"/>
      <c r="F31" s="521">
        <f>F24+F28</f>
        <v>21338</v>
      </c>
      <c r="G31" s="521">
        <f t="shared" ref="G31:H31" si="7">G24+G28</f>
        <v>-7592</v>
      </c>
      <c r="H31" s="521">
        <f t="shared" si="7"/>
        <v>-30968</v>
      </c>
      <c r="I31" s="521">
        <f>I24+I28</f>
        <v>3490</v>
      </c>
    </row>
    <row r="32" spans="1:9" x14ac:dyDescent="0.25">
      <c r="A32" s="719" t="s">
        <v>626</v>
      </c>
      <c r="B32" s="719"/>
      <c r="C32" s="719"/>
      <c r="D32" s="719"/>
      <c r="E32" s="719"/>
      <c r="F32" s="521">
        <f>F16+F22+F31</f>
        <v>10646.800000000017</v>
      </c>
      <c r="G32" s="521">
        <f t="shared" ref="G32:I32" si="8">G16+G22+G31</f>
        <v>9354</v>
      </c>
      <c r="H32" s="521">
        <f t="shared" si="8"/>
        <v>10727</v>
      </c>
      <c r="I32" s="521">
        <f t="shared" si="8"/>
        <v>7758</v>
      </c>
    </row>
    <row r="33" spans="1:9" x14ac:dyDescent="0.25">
      <c r="A33" s="720" t="s">
        <v>627</v>
      </c>
      <c r="B33" s="720"/>
      <c r="C33" s="720"/>
      <c r="D33" s="720"/>
      <c r="E33" s="720"/>
      <c r="F33" s="518">
        <f>F4+F32</f>
        <v>22977.800000000017</v>
      </c>
      <c r="G33" s="518">
        <f t="shared" ref="G33:I33" si="9">G4+G32</f>
        <v>32331</v>
      </c>
      <c r="H33" s="518">
        <f t="shared" si="9"/>
        <v>43058</v>
      </c>
      <c r="I33" s="518">
        <f t="shared" si="9"/>
        <v>50816</v>
      </c>
    </row>
  </sheetData>
  <mergeCells count="31">
    <mergeCell ref="A13:E13"/>
    <mergeCell ref="A3:E3"/>
    <mergeCell ref="A4:E4"/>
    <mergeCell ref="A6:E6"/>
    <mergeCell ref="A5:I5"/>
    <mergeCell ref="A7:E7"/>
    <mergeCell ref="A8:E8"/>
    <mergeCell ref="A9:E9"/>
    <mergeCell ref="A10:E10"/>
    <mergeCell ref="A11:E11"/>
    <mergeCell ref="A12:E12"/>
    <mergeCell ref="A25:E25"/>
    <mergeCell ref="A14:E14"/>
    <mergeCell ref="A15:E15"/>
    <mergeCell ref="A16:E16"/>
    <mergeCell ref="A17:I17"/>
    <mergeCell ref="A18:E18"/>
    <mergeCell ref="A19:E19"/>
    <mergeCell ref="A20:E20"/>
    <mergeCell ref="A21:E21"/>
    <mergeCell ref="A22:E22"/>
    <mergeCell ref="A23:I23"/>
    <mergeCell ref="A24:E24"/>
    <mergeCell ref="A32:E32"/>
    <mergeCell ref="A33:E33"/>
    <mergeCell ref="A26:E26"/>
    <mergeCell ref="A27:E27"/>
    <mergeCell ref="A28:E28"/>
    <mergeCell ref="A29:E29"/>
    <mergeCell ref="A30:E30"/>
    <mergeCell ref="A31:E31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3C596-6CD6-4B4B-9827-91149C77B9FF}">
  <dimension ref="A2:H28"/>
  <sheetViews>
    <sheetView workbookViewId="0">
      <selection activeCell="A2" sqref="A2:H2"/>
    </sheetView>
  </sheetViews>
  <sheetFormatPr defaultRowHeight="15" x14ac:dyDescent="0.25"/>
  <cols>
    <col min="1" max="1" width="28.5703125" customWidth="1"/>
    <col min="2" max="2" width="26.85546875" customWidth="1"/>
    <col min="3" max="3" width="20" customWidth="1"/>
    <col min="4" max="4" width="18" customWidth="1"/>
    <col min="5" max="5" width="13.140625" customWidth="1"/>
    <col min="6" max="6" width="15.7109375" customWidth="1"/>
    <col min="7" max="7" width="15.85546875" customWidth="1"/>
  </cols>
  <sheetData>
    <row r="2" spans="1:8" x14ac:dyDescent="0.25">
      <c r="A2" s="187" t="s">
        <v>1373</v>
      </c>
      <c r="B2" s="187"/>
      <c r="C2" s="187"/>
      <c r="D2" s="187"/>
      <c r="E2" s="187"/>
      <c r="F2" s="187"/>
      <c r="G2" s="187"/>
      <c r="H2" s="187"/>
    </row>
    <row r="3" spans="1:8" ht="25.5" x14ac:dyDescent="0.25">
      <c r="A3" s="608" t="s">
        <v>576</v>
      </c>
      <c r="B3" s="608" t="s">
        <v>1274</v>
      </c>
      <c r="C3" s="608" t="s">
        <v>1353</v>
      </c>
    </row>
    <row r="4" spans="1:8" x14ac:dyDescent="0.25">
      <c r="A4" s="600" t="s">
        <v>1282</v>
      </c>
      <c r="B4" s="635">
        <v>32000</v>
      </c>
      <c r="C4" s="635">
        <v>200</v>
      </c>
    </row>
    <row r="6" spans="1:8" ht="33.75" customHeight="1" x14ac:dyDescent="0.25">
      <c r="A6" s="608" t="s">
        <v>383</v>
      </c>
      <c r="B6" s="608" t="s">
        <v>789</v>
      </c>
      <c r="C6" s="608" t="s">
        <v>1359</v>
      </c>
      <c r="D6" s="608" t="s">
        <v>1360</v>
      </c>
      <c r="E6" s="608" t="s">
        <v>1361</v>
      </c>
      <c r="F6" s="608" t="s">
        <v>1362</v>
      </c>
      <c r="G6" s="608" t="s">
        <v>1363</v>
      </c>
      <c r="H6" s="608" t="s">
        <v>948</v>
      </c>
    </row>
    <row r="7" spans="1:8" ht="25.5" customHeight="1" x14ac:dyDescent="0.25">
      <c r="A7" s="600" t="s">
        <v>1282</v>
      </c>
      <c r="B7" s="632">
        <v>32000</v>
      </c>
      <c r="C7" s="600">
        <v>200</v>
      </c>
      <c r="D7" s="650" t="s">
        <v>1348</v>
      </c>
      <c r="E7" s="650" t="s">
        <v>1348</v>
      </c>
      <c r="F7" s="635">
        <v>1000000</v>
      </c>
      <c r="G7" s="632" t="s">
        <v>1348</v>
      </c>
      <c r="H7" s="600"/>
    </row>
    <row r="8" spans="1:8" ht="15" customHeight="1" x14ac:dyDescent="0.25">
      <c r="A8" s="600" t="s">
        <v>1289</v>
      </c>
      <c r="B8" s="632">
        <v>68000</v>
      </c>
      <c r="C8" s="600">
        <v>500</v>
      </c>
      <c r="D8" s="600">
        <v>625</v>
      </c>
      <c r="E8" s="600">
        <v>125</v>
      </c>
      <c r="F8" s="635">
        <v>8000000</v>
      </c>
      <c r="G8" s="635">
        <v>42500000</v>
      </c>
      <c r="H8" s="636">
        <f>G8/F8</f>
        <v>5.3125</v>
      </c>
    </row>
    <row r="9" spans="1:8" x14ac:dyDescent="0.25">
      <c r="A9" s="600"/>
      <c r="B9" s="632"/>
      <c r="C9" s="600"/>
      <c r="D9" s="600"/>
      <c r="E9" s="650" t="s">
        <v>1354</v>
      </c>
      <c r="F9" s="635"/>
      <c r="G9" s="635"/>
      <c r="H9" s="636"/>
    </row>
    <row r="10" spans="1:8" ht="15" customHeight="1" x14ac:dyDescent="0.25">
      <c r="A10" s="600" t="s">
        <v>1295</v>
      </c>
      <c r="B10" s="632">
        <v>98000</v>
      </c>
      <c r="C10" s="600">
        <v>1000</v>
      </c>
      <c r="D10" s="600">
        <v>1100</v>
      </c>
      <c r="E10" s="650">
        <v>100</v>
      </c>
      <c r="F10" s="635">
        <v>15000000</v>
      </c>
      <c r="G10" s="635">
        <v>107800000</v>
      </c>
      <c r="H10" s="636">
        <f t="shared" ref="H10:H16" si="0">G10/F10</f>
        <v>7.1866666666666665</v>
      </c>
    </row>
    <row r="11" spans="1:8" ht="15" customHeight="1" x14ac:dyDescent="0.25">
      <c r="A11" s="600"/>
      <c r="B11" s="632"/>
      <c r="C11" s="600"/>
      <c r="D11" s="600"/>
      <c r="E11" s="650" t="s">
        <v>1355</v>
      </c>
      <c r="F11" s="635"/>
      <c r="G11" s="635"/>
      <c r="H11" s="636"/>
    </row>
    <row r="12" spans="1:8" x14ac:dyDescent="0.25">
      <c r="A12" s="600" t="s">
        <v>1301</v>
      </c>
      <c r="B12" s="632">
        <v>46000</v>
      </c>
      <c r="C12" s="600">
        <v>200</v>
      </c>
      <c r="D12" s="600">
        <v>195</v>
      </c>
      <c r="E12" s="650">
        <v>5</v>
      </c>
      <c r="F12" s="635">
        <v>500000</v>
      </c>
      <c r="G12" s="635">
        <v>9000000</v>
      </c>
      <c r="H12" s="636">
        <f t="shared" si="0"/>
        <v>18</v>
      </c>
    </row>
    <row r="13" spans="1:8" ht="12.75" customHeight="1" x14ac:dyDescent="0.25">
      <c r="A13" s="600"/>
      <c r="B13" s="632"/>
      <c r="C13" s="600"/>
      <c r="D13" s="600"/>
      <c r="E13" s="650" t="s">
        <v>1356</v>
      </c>
      <c r="F13" s="635"/>
      <c r="G13" s="635"/>
      <c r="H13" s="636"/>
    </row>
    <row r="14" spans="1:8" ht="15" customHeight="1" x14ac:dyDescent="0.25">
      <c r="A14" s="600" t="s">
        <v>1307</v>
      </c>
      <c r="B14" s="632">
        <v>35000</v>
      </c>
      <c r="C14" s="600">
        <v>500</v>
      </c>
      <c r="D14" s="600">
        <v>535</v>
      </c>
      <c r="E14" s="650">
        <v>35</v>
      </c>
      <c r="F14" s="635">
        <v>2000000</v>
      </c>
      <c r="G14" s="635">
        <v>18700000</v>
      </c>
      <c r="H14" s="636">
        <f t="shared" si="0"/>
        <v>9.35</v>
      </c>
    </row>
    <row r="15" spans="1:8" ht="12" customHeight="1" x14ac:dyDescent="0.25">
      <c r="A15" s="600"/>
      <c r="B15" s="632"/>
      <c r="C15" s="600"/>
      <c r="D15" s="600"/>
      <c r="E15" s="650" t="s">
        <v>1357</v>
      </c>
      <c r="F15" s="635"/>
      <c r="G15" s="635"/>
      <c r="H15" s="636"/>
    </row>
    <row r="16" spans="1:8" ht="15" customHeight="1" x14ac:dyDescent="0.25">
      <c r="A16" s="600" t="s">
        <v>1313</v>
      </c>
      <c r="B16" s="632">
        <v>21000</v>
      </c>
      <c r="C16" s="600">
        <v>1000</v>
      </c>
      <c r="D16" s="600">
        <v>1200</v>
      </c>
      <c r="E16" s="650">
        <v>200</v>
      </c>
      <c r="F16" s="635">
        <v>4000000</v>
      </c>
      <c r="G16" s="635">
        <v>25200000</v>
      </c>
      <c r="H16" s="636">
        <f t="shared" si="0"/>
        <v>6.3</v>
      </c>
    </row>
    <row r="17" spans="1:8" ht="13.5" customHeight="1" x14ac:dyDescent="0.25">
      <c r="A17" s="600"/>
      <c r="B17" s="600"/>
      <c r="C17" s="600"/>
      <c r="D17" s="600"/>
      <c r="E17" s="650" t="s">
        <v>1358</v>
      </c>
      <c r="F17" s="635"/>
      <c r="G17" s="600"/>
      <c r="H17" s="636"/>
    </row>
    <row r="18" spans="1:8" x14ac:dyDescent="0.25">
      <c r="A18" s="631" t="s">
        <v>1349</v>
      </c>
      <c r="B18" s="633">
        <f>AVERAGE(B8:B16)</f>
        <v>53600</v>
      </c>
      <c r="C18" s="633">
        <f t="shared" ref="C18:G18" si="1">AVERAGE(C8:C16)</f>
        <v>640</v>
      </c>
      <c r="D18" s="633">
        <f t="shared" si="1"/>
        <v>731</v>
      </c>
      <c r="E18" s="633">
        <f>AVERAGE(E8, E10, E12, E14, E16)</f>
        <v>93</v>
      </c>
      <c r="F18" s="633">
        <f t="shared" si="1"/>
        <v>5900000</v>
      </c>
      <c r="G18" s="633">
        <f t="shared" si="1"/>
        <v>40640000</v>
      </c>
      <c r="H18" s="651">
        <f>AVERAGE(H8:H16)</f>
        <v>9.2298333333333336</v>
      </c>
    </row>
    <row r="19" spans="1:8" x14ac:dyDescent="0.25">
      <c r="A19" s="631" t="s">
        <v>1352</v>
      </c>
      <c r="B19" s="633">
        <f>MEDIAN(B8:B16)</f>
        <v>46000</v>
      </c>
      <c r="C19" s="633">
        <f t="shared" ref="C19:G19" si="2">MEDIAN(C8:C16)</f>
        <v>500</v>
      </c>
      <c r="D19" s="633">
        <f t="shared" si="2"/>
        <v>625</v>
      </c>
      <c r="E19" s="633">
        <f>MEDIAN(E8, E10, E12, E14, E16)</f>
        <v>100</v>
      </c>
      <c r="F19" s="633">
        <f t="shared" si="2"/>
        <v>4000000</v>
      </c>
      <c r="G19" s="633">
        <f t="shared" si="2"/>
        <v>25200000</v>
      </c>
      <c r="H19" s="651">
        <f>MEDIAN(H8:H16)</f>
        <v>7.1866666666666665</v>
      </c>
    </row>
    <row r="20" spans="1:8" ht="26.25" x14ac:dyDescent="0.25">
      <c r="A20" s="631" t="s">
        <v>1351</v>
      </c>
      <c r="B20" s="633"/>
      <c r="C20" s="634"/>
      <c r="D20" s="633"/>
      <c r="E20" s="633"/>
      <c r="F20" s="633" t="s">
        <v>994</v>
      </c>
      <c r="G20" s="640">
        <f>G18/F18</f>
        <v>6.8881355932203387</v>
      </c>
      <c r="H20" s="636"/>
    </row>
    <row r="21" spans="1:8" s="652" customFormat="1" ht="29.25" customHeight="1" x14ac:dyDescent="0.25">
      <c r="A21"/>
      <c r="B21"/>
      <c r="C21"/>
      <c r="D21"/>
      <c r="E21"/>
      <c r="F21"/>
      <c r="G21"/>
      <c r="H21"/>
    </row>
    <row r="22" spans="1:8" s="653" customFormat="1" ht="29.25" customHeight="1" x14ac:dyDescent="0.25">
      <c r="A22"/>
      <c r="B22"/>
      <c r="C22"/>
      <c r="D22"/>
      <c r="E22"/>
      <c r="F22"/>
      <c r="G22"/>
      <c r="H22"/>
    </row>
    <row r="24" spans="1:8" x14ac:dyDescent="0.25">
      <c r="A24" s="608" t="s">
        <v>576</v>
      </c>
      <c r="B24" s="608" t="s">
        <v>1158</v>
      </c>
    </row>
    <row r="25" spans="1:8" x14ac:dyDescent="0.25">
      <c r="A25" s="600" t="s">
        <v>778</v>
      </c>
      <c r="B25" s="632">
        <f>F7*H19</f>
        <v>7186666.666666667</v>
      </c>
    </row>
    <row r="26" spans="1:8" x14ac:dyDescent="0.25">
      <c r="A26" s="638" t="s">
        <v>1350</v>
      </c>
      <c r="B26" s="649">
        <f>B25/B4</f>
        <v>224.58333333333334</v>
      </c>
    </row>
    <row r="27" spans="1:8" x14ac:dyDescent="0.25">
      <c r="A27" s="638" t="s">
        <v>1364</v>
      </c>
      <c r="B27" s="649">
        <f>B26-C4</f>
        <v>24.583333333333343</v>
      </c>
    </row>
    <row r="28" spans="1:8" x14ac:dyDescent="0.25">
      <c r="A28" s="638" t="s">
        <v>1365</v>
      </c>
      <c r="B28" s="654">
        <f>B27/C4</f>
        <v>0.12291666666666672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0D579-5D66-4DFF-BD44-56287DDFA5E7}">
  <dimension ref="A2:H12"/>
  <sheetViews>
    <sheetView workbookViewId="0">
      <selection activeCell="A2" sqref="A2:H2"/>
    </sheetView>
  </sheetViews>
  <sheetFormatPr defaultRowHeight="15" x14ac:dyDescent="0.25"/>
  <cols>
    <col min="1" max="1" width="28.5703125" customWidth="1"/>
    <col min="2" max="2" width="26.85546875" customWidth="1"/>
    <col min="3" max="3" width="20" customWidth="1"/>
    <col min="4" max="4" width="18" customWidth="1"/>
  </cols>
  <sheetData>
    <row r="2" spans="1:8" x14ac:dyDescent="0.25">
      <c r="A2" s="187" t="s">
        <v>1372</v>
      </c>
      <c r="B2" s="187"/>
      <c r="C2" s="187"/>
      <c r="D2" s="187"/>
      <c r="E2" s="187"/>
      <c r="F2" s="187"/>
      <c r="G2" s="187"/>
      <c r="H2" s="187"/>
    </row>
    <row r="3" spans="1:8" ht="33.75" customHeight="1" x14ac:dyDescent="0.25">
      <c r="A3" s="608" t="s">
        <v>383</v>
      </c>
      <c r="B3" s="608" t="s">
        <v>1367</v>
      </c>
      <c r="C3" s="608" t="s">
        <v>1368</v>
      </c>
      <c r="D3" s="608" t="s">
        <v>1369</v>
      </c>
    </row>
    <row r="4" spans="1:8" ht="25.5" customHeight="1" x14ac:dyDescent="0.25">
      <c r="A4" s="600" t="s">
        <v>1282</v>
      </c>
      <c r="B4" s="632">
        <v>7000000</v>
      </c>
      <c r="C4" s="632">
        <v>8000000</v>
      </c>
      <c r="D4" s="650" t="s">
        <v>1348</v>
      </c>
    </row>
    <row r="5" spans="1:8" ht="15" customHeight="1" x14ac:dyDescent="0.25">
      <c r="A5" s="600" t="s">
        <v>1366</v>
      </c>
      <c r="B5" s="632">
        <v>13000000</v>
      </c>
      <c r="C5" s="632">
        <v>10000000</v>
      </c>
      <c r="D5" s="632">
        <v>15000000</v>
      </c>
    </row>
    <row r="6" spans="1:8" x14ac:dyDescent="0.25">
      <c r="A6" s="631" t="s">
        <v>1371</v>
      </c>
      <c r="B6" s="633"/>
      <c r="C6" s="634"/>
      <c r="D6" s="633"/>
    </row>
    <row r="7" spans="1:8" s="652" customFormat="1" ht="29.25" customHeight="1" x14ac:dyDescent="0.25">
      <c r="A7"/>
      <c r="B7"/>
      <c r="C7"/>
      <c r="D7"/>
    </row>
    <row r="8" spans="1:8" s="653" customFormat="1" ht="29.25" customHeight="1" x14ac:dyDescent="0.25">
      <c r="A8"/>
      <c r="B8"/>
      <c r="C8"/>
      <c r="D8"/>
    </row>
    <row r="10" spans="1:8" x14ac:dyDescent="0.25">
      <c r="A10" s="608" t="s">
        <v>576</v>
      </c>
      <c r="B10" s="608" t="s">
        <v>1158</v>
      </c>
    </row>
    <row r="11" spans="1:8" x14ac:dyDescent="0.25">
      <c r="A11" s="600" t="s">
        <v>1370</v>
      </c>
      <c r="B11" s="655">
        <f>D5/C5</f>
        <v>1.5</v>
      </c>
    </row>
    <row r="12" spans="1:8" x14ac:dyDescent="0.25">
      <c r="A12" s="631" t="s">
        <v>1371</v>
      </c>
      <c r="B12" s="639">
        <f>B11*C4</f>
        <v>12000000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252E4-DCAC-4333-8EC9-1BCEB29A637B}">
  <dimension ref="A2:I44"/>
  <sheetViews>
    <sheetView topLeftCell="A28" workbookViewId="0">
      <selection activeCell="B51" sqref="B51"/>
    </sheetView>
  </sheetViews>
  <sheetFormatPr defaultRowHeight="15" x14ac:dyDescent="0.25"/>
  <cols>
    <col min="1" max="1" width="28.5703125" customWidth="1"/>
    <col min="2" max="2" width="28.28515625" customWidth="1"/>
    <col min="3" max="3" width="18" customWidth="1"/>
    <col min="5" max="6" width="14.42578125" customWidth="1"/>
  </cols>
  <sheetData>
    <row r="2" spans="1:9" x14ac:dyDescent="0.25">
      <c r="A2" s="187" t="s">
        <v>1376</v>
      </c>
      <c r="B2" s="187"/>
      <c r="C2" s="187"/>
      <c r="D2" s="187"/>
      <c r="E2" s="187"/>
      <c r="F2" s="187"/>
      <c r="G2" s="187"/>
      <c r="H2" s="187"/>
      <c r="I2" s="187"/>
    </row>
    <row r="4" spans="1:9" x14ac:dyDescent="0.25">
      <c r="A4" s="608" t="s">
        <v>576</v>
      </c>
      <c r="B4" s="608" t="s">
        <v>1378</v>
      </c>
    </row>
    <row r="5" spans="1:9" x14ac:dyDescent="0.25">
      <c r="A5" s="600" t="s">
        <v>1377</v>
      </c>
      <c r="B5" s="655">
        <v>1000000</v>
      </c>
    </row>
    <row r="8" spans="1:9" ht="33.75" customHeight="1" x14ac:dyDescent="0.25">
      <c r="A8" s="608" t="s">
        <v>383</v>
      </c>
      <c r="B8" s="608" t="s">
        <v>1379</v>
      </c>
      <c r="C8" s="608" t="s">
        <v>1380</v>
      </c>
    </row>
    <row r="9" spans="1:9" ht="19.5" customHeight="1" x14ac:dyDescent="0.25">
      <c r="A9" s="600" t="s">
        <v>1282</v>
      </c>
      <c r="B9" s="632">
        <v>16</v>
      </c>
      <c r="C9" s="650"/>
    </row>
    <row r="10" spans="1:9" x14ac:dyDescent="0.25">
      <c r="A10" s="631" t="s">
        <v>1371</v>
      </c>
      <c r="B10" s="633"/>
      <c r="C10" s="633">
        <f>B5*B9</f>
        <v>16000000</v>
      </c>
    </row>
    <row r="14" spans="1:9" s="652" customFormat="1" ht="19.5" customHeight="1" x14ac:dyDescent="0.25">
      <c r="A14" s="567" t="s">
        <v>1391</v>
      </c>
      <c r="B14"/>
      <c r="C14"/>
    </row>
    <row r="15" spans="1:9" ht="25.5" x14ac:dyDescent="0.25">
      <c r="A15" s="608" t="s">
        <v>1392</v>
      </c>
      <c r="B15" s="608" t="s">
        <v>958</v>
      </c>
      <c r="C15" s="608" t="s">
        <v>1381</v>
      </c>
      <c r="D15" s="608" t="s">
        <v>1382</v>
      </c>
      <c r="E15" s="608" t="s">
        <v>1399</v>
      </c>
      <c r="F15" s="608" t="s">
        <v>1402</v>
      </c>
    </row>
    <row r="16" spans="1:9" x14ac:dyDescent="0.25">
      <c r="A16" s="600" t="s">
        <v>1383</v>
      </c>
      <c r="B16" s="677">
        <v>5.6</v>
      </c>
      <c r="C16" s="677">
        <v>6</v>
      </c>
      <c r="D16" s="678">
        <v>0.05</v>
      </c>
      <c r="E16" s="682">
        <f>B16*C16</f>
        <v>33.599999999999994</v>
      </c>
      <c r="F16" s="682">
        <f>B16*D16</f>
        <v>0.27999999999999997</v>
      </c>
    </row>
    <row r="17" spans="1:6" x14ac:dyDescent="0.25">
      <c r="A17" s="600" t="s">
        <v>1384</v>
      </c>
      <c r="B17" s="677">
        <v>8.3000000000000007</v>
      </c>
      <c r="C17" s="677">
        <v>5</v>
      </c>
      <c r="D17" s="678">
        <v>0.02</v>
      </c>
      <c r="E17" s="682">
        <f t="shared" ref="E17:E23" si="0">B17*C17</f>
        <v>41.5</v>
      </c>
      <c r="F17" s="682">
        <f t="shared" ref="F17:F23" si="1">B17*D17</f>
        <v>0.16600000000000001</v>
      </c>
    </row>
    <row r="18" spans="1:6" x14ac:dyDescent="0.25">
      <c r="A18" s="600" t="s">
        <v>1385</v>
      </c>
      <c r="B18" s="677">
        <v>7.2</v>
      </c>
      <c r="C18" s="677">
        <v>7</v>
      </c>
      <c r="D18" s="678">
        <v>0.04</v>
      </c>
      <c r="E18" s="682">
        <f t="shared" si="0"/>
        <v>50.4</v>
      </c>
      <c r="F18" s="682">
        <f t="shared" si="1"/>
        <v>0.28800000000000003</v>
      </c>
    </row>
    <row r="19" spans="1:6" x14ac:dyDescent="0.25">
      <c r="A19" s="600" t="s">
        <v>1386</v>
      </c>
      <c r="B19" s="677">
        <v>5.5</v>
      </c>
      <c r="C19" s="677">
        <v>8</v>
      </c>
      <c r="D19" s="678">
        <v>0.15</v>
      </c>
      <c r="E19" s="682">
        <f t="shared" si="0"/>
        <v>44</v>
      </c>
      <c r="F19" s="682">
        <f t="shared" si="1"/>
        <v>0.82499999999999996</v>
      </c>
    </row>
    <row r="20" spans="1:6" x14ac:dyDescent="0.25">
      <c r="A20" s="600" t="s">
        <v>1387</v>
      </c>
      <c r="B20" s="677">
        <v>6.4</v>
      </c>
      <c r="C20" s="677">
        <v>3</v>
      </c>
      <c r="D20" s="678">
        <v>0.2</v>
      </c>
      <c r="E20" s="682">
        <f t="shared" si="0"/>
        <v>19.200000000000003</v>
      </c>
      <c r="F20" s="682">
        <f t="shared" si="1"/>
        <v>1.2800000000000002</v>
      </c>
    </row>
    <row r="21" spans="1:6" x14ac:dyDescent="0.25">
      <c r="A21" s="600" t="s">
        <v>1388</v>
      </c>
      <c r="B21" s="677">
        <v>4.9000000000000004</v>
      </c>
      <c r="C21" s="677">
        <v>5</v>
      </c>
      <c r="D21" s="678">
        <v>0.02</v>
      </c>
      <c r="E21" s="682">
        <f t="shared" si="0"/>
        <v>24.5</v>
      </c>
      <c r="F21" s="682">
        <f t="shared" si="1"/>
        <v>9.8000000000000004E-2</v>
      </c>
    </row>
    <row r="22" spans="1:6" x14ac:dyDescent="0.25">
      <c r="A22" s="600" t="s">
        <v>1389</v>
      </c>
      <c r="B22" s="677">
        <v>5.4</v>
      </c>
      <c r="C22" s="677">
        <v>4</v>
      </c>
      <c r="D22" s="678">
        <v>0.16</v>
      </c>
      <c r="E22" s="682">
        <f t="shared" si="0"/>
        <v>21.6</v>
      </c>
      <c r="F22" s="682">
        <f t="shared" si="1"/>
        <v>0.8640000000000001</v>
      </c>
    </row>
    <row r="23" spans="1:6" x14ac:dyDescent="0.25">
      <c r="A23" s="600" t="s">
        <v>1390</v>
      </c>
      <c r="B23" s="677">
        <v>6.3</v>
      </c>
      <c r="C23" s="677">
        <v>2</v>
      </c>
      <c r="D23" s="678">
        <v>0.1</v>
      </c>
      <c r="E23" s="682">
        <f t="shared" si="0"/>
        <v>12.6</v>
      </c>
      <c r="F23" s="682">
        <f t="shared" si="1"/>
        <v>0.63</v>
      </c>
    </row>
    <row r="24" spans="1:6" s="178" customFormat="1" x14ac:dyDescent="0.25">
      <c r="A24" s="638" t="s">
        <v>548</v>
      </c>
      <c r="B24" s="680">
        <f>SUM(B16:B23)</f>
        <v>49.599999999999994</v>
      </c>
      <c r="C24" s="680">
        <f>SUM(C16:C23)</f>
        <v>40</v>
      </c>
      <c r="D24" s="681">
        <f>SUM(D16:D23)</f>
        <v>0.74</v>
      </c>
      <c r="E24" s="683">
        <f>SUM(E16:E23)</f>
        <v>247.39999999999998</v>
      </c>
      <c r="F24" s="683">
        <f>SUM(F16:F23)</f>
        <v>4.431</v>
      </c>
    </row>
    <row r="25" spans="1:6" ht="13.5" customHeight="1" x14ac:dyDescent="0.25">
      <c r="A25" s="600" t="s">
        <v>1398</v>
      </c>
      <c r="B25" s="677">
        <v>8</v>
      </c>
      <c r="C25" s="677"/>
      <c r="D25" s="678"/>
      <c r="E25" s="678"/>
      <c r="F25" s="678"/>
    </row>
    <row r="26" spans="1:6" ht="13.5" customHeight="1" x14ac:dyDescent="0.25">
      <c r="A26" s="600"/>
      <c r="B26" s="677"/>
      <c r="C26" s="677"/>
      <c r="D26" s="678"/>
      <c r="E26" s="678"/>
      <c r="F26" s="678"/>
    </row>
    <row r="27" spans="1:6" ht="13.5" customHeight="1" x14ac:dyDescent="0.25">
      <c r="A27" s="600"/>
      <c r="B27" s="677"/>
      <c r="C27" s="677"/>
      <c r="D27" s="678"/>
      <c r="E27" s="678"/>
      <c r="F27" s="678"/>
    </row>
    <row r="28" spans="1:6" s="145" customFormat="1" x14ac:dyDescent="0.25">
      <c r="A28" s="685"/>
      <c r="B28" s="686"/>
      <c r="C28" s="686"/>
      <c r="D28" s="687"/>
      <c r="E28" s="687"/>
      <c r="F28" s="687"/>
    </row>
    <row r="29" spans="1:6" s="145" customFormat="1" x14ac:dyDescent="0.25">
      <c r="A29" s="679" t="s">
        <v>1396</v>
      </c>
      <c r="B29"/>
      <c r="C29" s="686"/>
      <c r="D29" s="687"/>
      <c r="E29" s="687"/>
      <c r="F29" s="687"/>
    </row>
    <row r="30" spans="1:6" s="145" customFormat="1" x14ac:dyDescent="0.25">
      <c r="A30" s="608" t="s">
        <v>576</v>
      </c>
      <c r="B30" s="608" t="s">
        <v>1393</v>
      </c>
      <c r="C30" s="686"/>
      <c r="D30" s="687"/>
      <c r="E30" s="687"/>
      <c r="F30" s="687"/>
    </row>
    <row r="31" spans="1:6" s="145" customFormat="1" x14ac:dyDescent="0.25">
      <c r="A31" s="600" t="s">
        <v>1397</v>
      </c>
      <c r="B31" s="684">
        <f>B24/B25</f>
        <v>6.1999999999999993</v>
      </c>
      <c r="C31" s="686"/>
      <c r="D31" s="687"/>
      <c r="E31" s="687"/>
      <c r="F31" s="687"/>
    </row>
    <row r="32" spans="1:6" s="145" customFormat="1" x14ac:dyDescent="0.25">
      <c r="A32" s="600" t="s">
        <v>1400</v>
      </c>
      <c r="B32" s="684">
        <f>E24/C24</f>
        <v>6.1849999999999996</v>
      </c>
      <c r="C32" s="686"/>
      <c r="D32" s="687"/>
      <c r="E32" s="687"/>
      <c r="F32" s="687"/>
    </row>
    <row r="33" spans="1:2" x14ac:dyDescent="0.25">
      <c r="A33" s="600" t="s">
        <v>1401</v>
      </c>
      <c r="B33" s="684">
        <f>F24/D24</f>
        <v>5.9878378378378381</v>
      </c>
    </row>
    <row r="34" spans="1:2" s="83" customFormat="1" x14ac:dyDescent="0.25">
      <c r="A34" s="688"/>
      <c r="B34" s="689"/>
    </row>
    <row r="35" spans="1:2" x14ac:dyDescent="0.25">
      <c r="A35" s="679" t="s">
        <v>1282</v>
      </c>
    </row>
    <row r="36" spans="1:2" x14ac:dyDescent="0.25">
      <c r="A36" s="608" t="s">
        <v>576</v>
      </c>
      <c r="B36" s="608" t="s">
        <v>1393</v>
      </c>
    </row>
    <row r="37" spans="1:2" x14ac:dyDescent="0.25">
      <c r="A37" s="600" t="s">
        <v>428</v>
      </c>
      <c r="B37" s="684">
        <v>4</v>
      </c>
    </row>
    <row r="38" spans="1:2" x14ac:dyDescent="0.25">
      <c r="A38" s="600" t="s">
        <v>1394</v>
      </c>
      <c r="B38" s="684">
        <v>2.5</v>
      </c>
    </row>
    <row r="39" spans="1:2" x14ac:dyDescent="0.25">
      <c r="A39" s="600" t="s">
        <v>1395</v>
      </c>
      <c r="B39" s="684">
        <v>0.5</v>
      </c>
    </row>
    <row r="40" spans="1:2" x14ac:dyDescent="0.25">
      <c r="A40" s="600" t="s">
        <v>123</v>
      </c>
      <c r="B40" s="684">
        <v>6</v>
      </c>
    </row>
    <row r="41" spans="1:2" x14ac:dyDescent="0.25">
      <c r="A41" s="600" t="s">
        <v>313</v>
      </c>
      <c r="B41" s="684">
        <v>0</v>
      </c>
    </row>
    <row r="42" spans="1:2" x14ac:dyDescent="0.25">
      <c r="A42" s="638" t="s">
        <v>959</v>
      </c>
      <c r="B42" s="690">
        <f>B37-(B38-B39)</f>
        <v>2</v>
      </c>
    </row>
    <row r="43" spans="1:2" x14ac:dyDescent="0.25">
      <c r="A43" s="638" t="s">
        <v>1403</v>
      </c>
      <c r="B43" s="690">
        <f>B31*B42</f>
        <v>12.399999999999999</v>
      </c>
    </row>
    <row r="44" spans="1:2" x14ac:dyDescent="0.25">
      <c r="A44" s="638" t="s">
        <v>1404</v>
      </c>
      <c r="B44" s="690">
        <f>B33*B42</f>
        <v>11.975675675675676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A559B-4974-4D1D-9468-E8D77BCFE2A8}">
  <dimension ref="A3:L36"/>
  <sheetViews>
    <sheetView workbookViewId="0">
      <selection activeCell="F25" sqref="F25"/>
    </sheetView>
  </sheetViews>
  <sheetFormatPr defaultRowHeight="15" x14ac:dyDescent="0.25"/>
  <cols>
    <col min="1" max="1" width="10.5703125" customWidth="1"/>
    <col min="2" max="2" width="13.7109375" customWidth="1"/>
    <col min="3" max="3" width="14" customWidth="1"/>
    <col min="4" max="4" width="11.28515625" customWidth="1"/>
  </cols>
  <sheetData>
    <row r="3" spans="1:12" x14ac:dyDescent="0.25">
      <c r="A3" s="187" t="s">
        <v>945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</row>
    <row r="4" spans="1:12" s="83" customFormat="1" x14ac:dyDescent="0.25">
      <c r="A4" s="328"/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</row>
    <row r="5" spans="1:12" x14ac:dyDescent="0.25">
      <c r="A5" s="343" t="s">
        <v>946</v>
      </c>
    </row>
    <row r="6" spans="1:12" x14ac:dyDescent="0.25">
      <c r="A6" s="141" t="s">
        <v>947</v>
      </c>
    </row>
    <row r="7" spans="1:12" x14ac:dyDescent="0.25">
      <c r="A7" s="343"/>
    </row>
    <row r="8" spans="1:12" x14ac:dyDescent="0.25">
      <c r="A8" s="473" t="s">
        <v>965</v>
      </c>
      <c r="B8" s="474"/>
      <c r="C8" s="472">
        <f>DCF!E74</f>
        <v>169890.6</v>
      </c>
    </row>
    <row r="9" spans="1:12" x14ac:dyDescent="0.25">
      <c r="A9" s="473" t="s">
        <v>966</v>
      </c>
      <c r="B9" s="475"/>
      <c r="C9" s="472">
        <f>DCF!E76</f>
        <v>26625.74</v>
      </c>
    </row>
    <row r="10" spans="1:12" x14ac:dyDescent="0.25">
      <c r="A10" s="347"/>
    </row>
    <row r="11" spans="1:12" ht="41.25" customHeight="1" x14ac:dyDescent="0.25">
      <c r="A11" s="476" t="s">
        <v>948</v>
      </c>
      <c r="B11" s="477" t="s">
        <v>949</v>
      </c>
      <c r="C11" s="800" t="s">
        <v>980</v>
      </c>
      <c r="D11" s="800"/>
      <c r="E11" s="477" t="s">
        <v>827</v>
      </c>
      <c r="F11" s="477" t="s">
        <v>829</v>
      </c>
      <c r="G11" s="477" t="s">
        <v>950</v>
      </c>
    </row>
    <row r="12" spans="1:12" x14ac:dyDescent="0.25">
      <c r="A12" s="478" t="s">
        <v>951</v>
      </c>
      <c r="B12" s="471"/>
      <c r="C12" s="471"/>
      <c r="D12" s="471"/>
      <c r="E12" s="471"/>
      <c r="F12" s="471"/>
      <c r="G12" s="471"/>
    </row>
    <row r="13" spans="1:12" x14ac:dyDescent="0.25">
      <c r="A13" s="479" t="s">
        <v>952</v>
      </c>
      <c r="B13" s="51">
        <v>13.23</v>
      </c>
      <c r="C13" s="480" t="s">
        <v>953</v>
      </c>
      <c r="D13" s="481">
        <f>(Plán!E49-Plán!E24)*(1-Plán!E7)</f>
        <v>49755.060000000005</v>
      </c>
      <c r="E13" s="479"/>
      <c r="F13" s="481">
        <f>B13*D13</f>
        <v>658259.44380000012</v>
      </c>
      <c r="G13" s="481">
        <f>F13+$C$9</f>
        <v>684885.18380000012</v>
      </c>
    </row>
    <row r="14" spans="1:12" x14ac:dyDescent="0.25">
      <c r="A14" s="479" t="s">
        <v>954</v>
      </c>
      <c r="B14" s="51">
        <v>1.3</v>
      </c>
      <c r="C14" s="480" t="s">
        <v>123</v>
      </c>
      <c r="D14" s="481">
        <f>EVA!E43-EVA!E45</f>
        <v>319020.5</v>
      </c>
      <c r="E14" s="479"/>
      <c r="F14" s="481">
        <f>B14*D14</f>
        <v>414726.65</v>
      </c>
      <c r="G14" s="481">
        <f>F14+$C$9</f>
        <v>441352.39</v>
      </c>
    </row>
    <row r="15" spans="1:12" x14ac:dyDescent="0.25">
      <c r="A15" s="478" t="s">
        <v>955</v>
      </c>
      <c r="B15" s="482"/>
      <c r="C15" s="482"/>
      <c r="D15" s="482"/>
      <c r="E15" s="482"/>
      <c r="F15" s="482"/>
      <c r="G15" s="482"/>
    </row>
    <row r="16" spans="1:12" x14ac:dyDescent="0.25">
      <c r="A16" s="479" t="s">
        <v>956</v>
      </c>
      <c r="B16" s="51">
        <v>0.33</v>
      </c>
      <c r="C16" s="480" t="s">
        <v>428</v>
      </c>
      <c r="D16" s="481">
        <f>Plán!E12</f>
        <v>2054958</v>
      </c>
      <c r="E16" s="481">
        <f>B16*D16</f>
        <v>678136.14</v>
      </c>
      <c r="F16" s="481">
        <f>E16-$C$8</f>
        <v>508245.54000000004</v>
      </c>
      <c r="G16" s="481">
        <f>F16+$C$9</f>
        <v>534871.28</v>
      </c>
    </row>
    <row r="17" spans="1:7" x14ac:dyDescent="0.25">
      <c r="A17" s="479" t="s">
        <v>957</v>
      </c>
      <c r="B17" s="51">
        <v>11.31</v>
      </c>
      <c r="C17" s="480" t="s">
        <v>332</v>
      </c>
      <c r="D17" s="481">
        <f>Plán!E49</f>
        <v>71962</v>
      </c>
      <c r="E17" s="481">
        <f>B17*D17</f>
        <v>813890.22000000009</v>
      </c>
      <c r="F17" s="481">
        <f t="shared" ref="F17:F19" si="0">E17-$C$8</f>
        <v>643999.62000000011</v>
      </c>
      <c r="G17" s="481">
        <f t="shared" ref="G17:G19" si="1">F17+$C$9</f>
        <v>670625.3600000001</v>
      </c>
    </row>
    <row r="18" spans="1:7" x14ac:dyDescent="0.25">
      <c r="A18" s="479" t="s">
        <v>958</v>
      </c>
      <c r="B18" s="51">
        <v>6.72</v>
      </c>
      <c r="C18" s="480" t="s">
        <v>959</v>
      </c>
      <c r="D18" s="481">
        <f>D17+Plán!E53</f>
        <v>117334</v>
      </c>
      <c r="E18" s="481">
        <f>B18*D18</f>
        <v>788484.48</v>
      </c>
      <c r="F18" s="481">
        <f t="shared" si="0"/>
        <v>618593.88</v>
      </c>
      <c r="G18" s="481">
        <f t="shared" si="1"/>
        <v>645219.62</v>
      </c>
    </row>
    <row r="19" spans="1:7" x14ac:dyDescent="0.25">
      <c r="A19" s="479" t="s">
        <v>960</v>
      </c>
      <c r="B19" s="51">
        <v>1.33</v>
      </c>
      <c r="C19" s="480" t="s">
        <v>961</v>
      </c>
      <c r="D19" s="481">
        <f>Generátory!I201</f>
        <v>488911.1</v>
      </c>
      <c r="E19" s="481">
        <f>B19*D19</f>
        <v>650251.76300000004</v>
      </c>
      <c r="F19" s="481">
        <f t="shared" si="0"/>
        <v>480361.16300000006</v>
      </c>
      <c r="G19" s="481">
        <f t="shared" si="1"/>
        <v>506986.90300000005</v>
      </c>
    </row>
    <row r="20" spans="1:7" x14ac:dyDescent="0.25">
      <c r="B20" s="464"/>
      <c r="C20" s="464"/>
    </row>
    <row r="21" spans="1:7" x14ac:dyDescent="0.25">
      <c r="A21" s="348" t="s">
        <v>962</v>
      </c>
    </row>
    <row r="22" spans="1:7" x14ac:dyDescent="0.25">
      <c r="A22" s="348" t="s">
        <v>963</v>
      </c>
    </row>
    <row r="23" spans="1:7" x14ac:dyDescent="0.25">
      <c r="A23" s="465" t="s">
        <v>964</v>
      </c>
    </row>
    <row r="26" spans="1:7" x14ac:dyDescent="0.25">
      <c r="A26" s="188" t="s">
        <v>1263</v>
      </c>
      <c r="B26" s="188"/>
    </row>
    <row r="27" spans="1:7" ht="28.5" customHeight="1" x14ac:dyDescent="0.25">
      <c r="A27" s="629" t="s">
        <v>576</v>
      </c>
      <c r="B27" s="629"/>
      <c r="C27" s="629" t="s">
        <v>1182</v>
      </c>
    </row>
    <row r="28" spans="1:7" x14ac:dyDescent="0.25">
      <c r="A28" s="583" t="s">
        <v>1271</v>
      </c>
      <c r="B28" s="590"/>
      <c r="C28" s="590">
        <v>120</v>
      </c>
    </row>
    <row r="29" spans="1:7" x14ac:dyDescent="0.25">
      <c r="A29" s="583" t="s">
        <v>1264</v>
      </c>
      <c r="B29" s="590"/>
      <c r="C29" s="622">
        <v>0.25</v>
      </c>
    </row>
    <row r="30" spans="1:7" x14ac:dyDescent="0.25">
      <c r="A30" s="583" t="s">
        <v>1265</v>
      </c>
      <c r="B30" s="590"/>
      <c r="C30" s="622">
        <v>0.04</v>
      </c>
    </row>
    <row r="31" spans="1:7" x14ac:dyDescent="0.25">
      <c r="A31" s="583" t="s">
        <v>1267</v>
      </c>
      <c r="B31" s="590"/>
      <c r="C31" s="622">
        <v>0.05</v>
      </c>
    </row>
    <row r="32" spans="1:7" x14ac:dyDescent="0.25">
      <c r="A32" s="623" t="s">
        <v>1266</v>
      </c>
      <c r="B32" s="590"/>
      <c r="C32" s="624">
        <v>0.9</v>
      </c>
    </row>
    <row r="33" spans="1:3" x14ac:dyDescent="0.25">
      <c r="A33" s="583" t="s">
        <v>1268</v>
      </c>
      <c r="B33" s="590"/>
      <c r="C33" s="622">
        <v>0.06</v>
      </c>
    </row>
    <row r="34" spans="1:3" x14ac:dyDescent="0.25">
      <c r="A34" s="586" t="s">
        <v>1269</v>
      </c>
      <c r="B34" s="629"/>
      <c r="C34" s="625">
        <f>(C29*(1+C30))</f>
        <v>0.26</v>
      </c>
    </row>
    <row r="35" spans="1:3" x14ac:dyDescent="0.25">
      <c r="A35" s="586" t="s">
        <v>1270</v>
      </c>
      <c r="B35" s="629"/>
      <c r="C35" s="625">
        <f>((C31+C33*C32)-C30)</f>
        <v>6.4000000000000001E-2</v>
      </c>
    </row>
    <row r="36" spans="1:3" x14ac:dyDescent="0.25">
      <c r="A36" s="586" t="s">
        <v>952</v>
      </c>
      <c r="B36" s="629"/>
      <c r="C36" s="625">
        <f>C34/C35</f>
        <v>4.0625</v>
      </c>
    </row>
  </sheetData>
  <mergeCells count="1">
    <mergeCell ref="C11:D11"/>
  </mergeCell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62311-C807-43C9-A82E-967907A4C7F8}">
  <dimension ref="A2:I41"/>
  <sheetViews>
    <sheetView workbookViewId="0">
      <selection activeCell="A20" sqref="A20"/>
    </sheetView>
  </sheetViews>
  <sheetFormatPr defaultRowHeight="15" x14ac:dyDescent="0.25"/>
  <cols>
    <col min="1" max="1" width="28.5703125" customWidth="1"/>
    <col min="2" max="2" width="65" customWidth="1"/>
    <col min="3" max="3" width="18" customWidth="1"/>
    <col min="5" max="6" width="14.42578125" customWidth="1"/>
  </cols>
  <sheetData>
    <row r="2" spans="1:9" x14ac:dyDescent="0.25">
      <c r="A2" s="187" t="s">
        <v>1405</v>
      </c>
      <c r="B2" s="187"/>
      <c r="C2" s="187"/>
      <c r="D2" s="187"/>
      <c r="E2" s="187"/>
      <c r="F2" s="187"/>
      <c r="G2" s="187"/>
      <c r="H2" s="187"/>
      <c r="I2" s="187"/>
    </row>
    <row r="4" spans="1:9" x14ac:dyDescent="0.25">
      <c r="A4" s="582" t="s">
        <v>1181</v>
      </c>
      <c r="B4" s="582" t="s">
        <v>1406</v>
      </c>
      <c r="C4" s="83"/>
      <c r="D4" s="83"/>
      <c r="E4" s="83"/>
      <c r="F4" s="83"/>
    </row>
    <row r="5" spans="1:9" x14ac:dyDescent="0.25">
      <c r="A5" s="583" t="s">
        <v>1407</v>
      </c>
      <c r="B5" s="702" t="s">
        <v>1413</v>
      </c>
      <c r="C5" s="83"/>
      <c r="D5" s="83"/>
      <c r="E5" s="83"/>
      <c r="F5" s="83"/>
    </row>
    <row r="6" spans="1:9" x14ac:dyDescent="0.25">
      <c r="A6" s="583" t="s">
        <v>1408</v>
      </c>
      <c r="B6" s="702" t="s">
        <v>1415</v>
      </c>
      <c r="C6" s="83"/>
      <c r="D6" s="83"/>
      <c r="E6" s="83"/>
      <c r="F6" s="83"/>
    </row>
    <row r="7" spans="1:9" x14ac:dyDescent="0.25">
      <c r="A7" s="583" t="s">
        <v>1409</v>
      </c>
      <c r="B7" s="702" t="s">
        <v>1420</v>
      </c>
      <c r="C7" s="83"/>
      <c r="D7" s="83"/>
      <c r="E7" s="83"/>
      <c r="F7" s="83"/>
    </row>
    <row r="8" spans="1:9" ht="14.25" customHeight="1" x14ac:dyDescent="0.25">
      <c r="A8" s="583" t="s">
        <v>1410</v>
      </c>
      <c r="B8" s="702" t="s">
        <v>1411</v>
      </c>
      <c r="C8" s="691"/>
      <c r="D8" s="83"/>
      <c r="E8" s="83"/>
      <c r="F8" s="83"/>
    </row>
    <row r="9" spans="1:9" ht="13.5" customHeight="1" x14ac:dyDescent="0.25">
      <c r="A9" s="583" t="s">
        <v>1412</v>
      </c>
      <c r="B9" s="702" t="s">
        <v>1414</v>
      </c>
      <c r="C9" s="692"/>
      <c r="D9" s="83"/>
      <c r="E9" s="83"/>
      <c r="F9" s="83"/>
    </row>
    <row r="10" spans="1:9" x14ac:dyDescent="0.25">
      <c r="A10" s="583" t="s">
        <v>1416</v>
      </c>
      <c r="B10" s="702" t="s">
        <v>1417</v>
      </c>
      <c r="C10" s="693"/>
      <c r="D10" s="83"/>
      <c r="E10" s="83"/>
      <c r="F10" s="83"/>
    </row>
    <row r="11" spans="1:9" x14ac:dyDescent="0.25">
      <c r="A11" s="583" t="s">
        <v>1418</v>
      </c>
      <c r="B11" s="702" t="s">
        <v>1419</v>
      </c>
      <c r="C11" s="693"/>
      <c r="D11" s="83"/>
      <c r="E11" s="83"/>
      <c r="F11" s="83"/>
    </row>
    <row r="12" spans="1:9" x14ac:dyDescent="0.25">
      <c r="A12" s="583" t="s">
        <v>1421</v>
      </c>
      <c r="B12" s="702" t="s">
        <v>1422</v>
      </c>
      <c r="C12" s="693"/>
      <c r="D12" s="83"/>
      <c r="E12" s="83"/>
      <c r="F12" s="83"/>
    </row>
    <row r="13" spans="1:9" x14ac:dyDescent="0.25">
      <c r="A13" s="583" t="s">
        <v>1423</v>
      </c>
      <c r="B13" s="702" t="s">
        <v>1424</v>
      </c>
      <c r="C13" s="693"/>
      <c r="D13" s="83"/>
      <c r="E13" s="83"/>
      <c r="F13" s="83"/>
    </row>
    <row r="14" spans="1:9" x14ac:dyDescent="0.25">
      <c r="A14" s="688"/>
      <c r="B14" s="694"/>
      <c r="C14" s="694"/>
      <c r="D14" s="695"/>
      <c r="E14" s="696"/>
      <c r="F14" s="696"/>
    </row>
    <row r="15" spans="1:9" x14ac:dyDescent="0.25">
      <c r="A15" s="688"/>
      <c r="B15" s="694"/>
      <c r="C15" s="694"/>
      <c r="D15" s="695"/>
      <c r="E15" s="696"/>
      <c r="F15" s="696"/>
    </row>
    <row r="16" spans="1:9" x14ac:dyDescent="0.25">
      <c r="A16" s="688"/>
      <c r="B16" s="694"/>
      <c r="C16" s="694"/>
      <c r="D16" s="695"/>
      <c r="E16" s="696"/>
      <c r="F16" s="696"/>
    </row>
    <row r="17" spans="1:6" x14ac:dyDescent="0.25">
      <c r="A17" s="688"/>
      <c r="B17" s="694"/>
      <c r="C17" s="694"/>
      <c r="D17" s="695"/>
      <c r="E17" s="696"/>
      <c r="F17" s="696"/>
    </row>
    <row r="18" spans="1:6" x14ac:dyDescent="0.25">
      <c r="A18" s="688"/>
      <c r="B18" s="694"/>
      <c r="C18" s="694"/>
      <c r="D18" s="695"/>
      <c r="E18" s="696"/>
      <c r="F18" s="696"/>
    </row>
    <row r="19" spans="1:6" x14ac:dyDescent="0.25">
      <c r="A19" s="688"/>
      <c r="B19" s="694"/>
      <c r="C19" s="694"/>
      <c r="D19" s="695"/>
      <c r="E19" s="696"/>
      <c r="F19" s="696"/>
    </row>
    <row r="20" spans="1:6" s="178" customFormat="1" x14ac:dyDescent="0.25">
      <c r="A20" s="697"/>
      <c r="B20" s="698"/>
      <c r="C20" s="698"/>
      <c r="D20" s="699"/>
      <c r="E20" s="700"/>
      <c r="F20" s="700"/>
    </row>
    <row r="21" spans="1:6" ht="13.5" customHeight="1" x14ac:dyDescent="0.25">
      <c r="A21" s="688"/>
      <c r="B21" s="694"/>
      <c r="C21" s="694"/>
      <c r="D21" s="695"/>
      <c r="E21" s="695"/>
      <c r="F21" s="695"/>
    </row>
    <row r="22" spans="1:6" ht="13.5" customHeight="1" x14ac:dyDescent="0.25">
      <c r="A22" s="688"/>
      <c r="B22" s="694"/>
      <c r="C22" s="694"/>
      <c r="D22" s="695"/>
      <c r="E22" s="695"/>
      <c r="F22" s="695"/>
    </row>
    <row r="23" spans="1:6" ht="13.5" customHeight="1" x14ac:dyDescent="0.25">
      <c r="A23" s="688"/>
      <c r="B23" s="694"/>
      <c r="C23" s="694"/>
      <c r="D23" s="695"/>
      <c r="E23" s="695"/>
      <c r="F23" s="695"/>
    </row>
    <row r="24" spans="1:6" s="145" customFormat="1" x14ac:dyDescent="0.25">
      <c r="A24" s="685"/>
      <c r="B24" s="686"/>
      <c r="C24" s="686"/>
      <c r="D24" s="687"/>
      <c r="E24" s="687"/>
      <c r="F24" s="687"/>
    </row>
    <row r="25" spans="1:6" s="145" customFormat="1" x14ac:dyDescent="0.25">
      <c r="A25" s="697"/>
      <c r="B25" s="83"/>
      <c r="C25" s="686"/>
      <c r="D25" s="687"/>
      <c r="E25" s="687"/>
      <c r="F25" s="687"/>
    </row>
    <row r="26" spans="1:6" s="145" customFormat="1" x14ac:dyDescent="0.25">
      <c r="A26" s="691"/>
      <c r="B26" s="691"/>
      <c r="C26" s="686"/>
      <c r="D26" s="687"/>
      <c r="E26" s="687"/>
      <c r="F26" s="687"/>
    </row>
    <row r="27" spans="1:6" s="145" customFormat="1" x14ac:dyDescent="0.25">
      <c r="A27" s="688"/>
      <c r="B27" s="689"/>
      <c r="C27" s="686"/>
      <c r="D27" s="687"/>
      <c r="E27" s="687"/>
      <c r="F27" s="687"/>
    </row>
    <row r="28" spans="1:6" s="145" customFormat="1" x14ac:dyDescent="0.25">
      <c r="A28" s="688"/>
      <c r="B28" s="689"/>
      <c r="C28" s="686"/>
      <c r="D28" s="687"/>
      <c r="E28" s="687"/>
      <c r="F28" s="687"/>
    </row>
    <row r="29" spans="1:6" x14ac:dyDescent="0.25">
      <c r="A29" s="688"/>
      <c r="B29" s="689"/>
      <c r="C29" s="83"/>
      <c r="D29" s="83"/>
      <c r="E29" s="83"/>
      <c r="F29" s="83"/>
    </row>
    <row r="30" spans="1:6" s="83" customFormat="1" x14ac:dyDescent="0.25">
      <c r="A30" s="688"/>
      <c r="B30" s="689"/>
    </row>
    <row r="31" spans="1:6" x14ac:dyDescent="0.25">
      <c r="A31" s="697"/>
      <c r="B31" s="83"/>
      <c r="C31" s="83"/>
      <c r="D31" s="83"/>
      <c r="E31" s="83"/>
      <c r="F31" s="83"/>
    </row>
    <row r="32" spans="1:6" x14ac:dyDescent="0.25">
      <c r="A32" s="691"/>
      <c r="B32" s="691"/>
      <c r="C32" s="83"/>
      <c r="D32" s="83"/>
      <c r="E32" s="83"/>
      <c r="F32" s="83"/>
    </row>
    <row r="33" spans="1:6" x14ac:dyDescent="0.25">
      <c r="A33" s="688"/>
      <c r="B33" s="689"/>
      <c r="C33" s="83"/>
      <c r="D33" s="83"/>
      <c r="E33" s="83"/>
      <c r="F33" s="83"/>
    </row>
    <row r="34" spans="1:6" x14ac:dyDescent="0.25">
      <c r="A34" s="688"/>
      <c r="B34" s="689"/>
      <c r="C34" s="83"/>
      <c r="D34" s="83"/>
      <c r="E34" s="83"/>
      <c r="F34" s="83"/>
    </row>
    <row r="35" spans="1:6" x14ac:dyDescent="0.25">
      <c r="A35" s="688"/>
      <c r="B35" s="689"/>
      <c r="C35" s="83"/>
      <c r="D35" s="83"/>
      <c r="E35" s="83"/>
      <c r="F35" s="83"/>
    </row>
    <row r="36" spans="1:6" x14ac:dyDescent="0.25">
      <c r="A36" s="688"/>
      <c r="B36" s="689"/>
      <c r="C36" s="83"/>
      <c r="D36" s="83"/>
      <c r="E36" s="83"/>
      <c r="F36" s="83"/>
    </row>
    <row r="37" spans="1:6" x14ac:dyDescent="0.25">
      <c r="A37" s="688"/>
      <c r="B37" s="689"/>
      <c r="C37" s="83"/>
      <c r="D37" s="83"/>
      <c r="E37" s="83"/>
      <c r="F37" s="83"/>
    </row>
    <row r="38" spans="1:6" x14ac:dyDescent="0.25">
      <c r="A38" s="697"/>
      <c r="B38" s="701"/>
      <c r="C38" s="83"/>
      <c r="D38" s="83"/>
      <c r="E38" s="83"/>
      <c r="F38" s="83"/>
    </row>
    <row r="39" spans="1:6" x14ac:dyDescent="0.25">
      <c r="A39" s="697"/>
      <c r="B39" s="701"/>
      <c r="C39" s="83"/>
      <c r="D39" s="83"/>
      <c r="E39" s="83"/>
      <c r="F39" s="83"/>
    </row>
    <row r="40" spans="1:6" x14ac:dyDescent="0.25">
      <c r="A40" s="697"/>
      <c r="B40" s="701"/>
      <c r="C40" s="83"/>
      <c r="D40" s="83"/>
      <c r="E40" s="83"/>
      <c r="F40" s="83"/>
    </row>
    <row r="41" spans="1:6" x14ac:dyDescent="0.25">
      <c r="A41" s="83"/>
      <c r="B41" s="83"/>
      <c r="C41" s="83"/>
      <c r="D41" s="83"/>
      <c r="E41" s="83"/>
      <c r="F41" s="83"/>
    </row>
  </sheetData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26576-6F0B-4E99-ACED-D30A647F2872}">
  <dimension ref="A1:G30"/>
  <sheetViews>
    <sheetView tabSelected="1" workbookViewId="0">
      <selection activeCell="I28" sqref="I28"/>
    </sheetView>
  </sheetViews>
  <sheetFormatPr defaultRowHeight="15" x14ac:dyDescent="0.25"/>
  <cols>
    <col min="2" max="2" width="18" customWidth="1"/>
  </cols>
  <sheetData>
    <row r="1" spans="1:7" ht="15.75" x14ac:dyDescent="0.25">
      <c r="A1" s="657" t="s">
        <v>967</v>
      </c>
      <c r="B1" s="483"/>
      <c r="C1" s="483"/>
      <c r="D1" s="483"/>
      <c r="E1" s="483"/>
      <c r="F1" s="658"/>
      <c r="G1" s="659"/>
    </row>
    <row r="2" spans="1:7" ht="15.75" x14ac:dyDescent="0.25">
      <c r="A2" s="660"/>
      <c r="B2" s="180"/>
      <c r="C2" s="180"/>
      <c r="D2" s="180"/>
      <c r="E2" s="180"/>
      <c r="F2" s="180"/>
      <c r="G2" s="180"/>
    </row>
    <row r="3" spans="1:7" x14ac:dyDescent="0.25">
      <c r="A3" s="661" t="s">
        <v>968</v>
      </c>
      <c r="B3" s="661"/>
      <c r="C3" s="195">
        <f>DCF!E77</f>
        <v>714065</v>
      </c>
      <c r="D3" s="180"/>
      <c r="E3" s="180"/>
      <c r="F3" s="180"/>
      <c r="G3" s="180"/>
    </row>
    <row r="4" spans="1:7" x14ac:dyDescent="0.25">
      <c r="A4" s="661" t="s">
        <v>969</v>
      </c>
      <c r="B4" s="661"/>
      <c r="C4" s="195">
        <f>EVA!E48</f>
        <v>706297.55827696039</v>
      </c>
      <c r="D4" s="180"/>
      <c r="E4" s="180"/>
      <c r="F4" s="180"/>
      <c r="G4" s="180"/>
    </row>
    <row r="5" spans="1:7" x14ac:dyDescent="0.25">
      <c r="A5" s="661" t="s">
        <v>970</v>
      </c>
      <c r="B5" s="661"/>
      <c r="C5" s="195">
        <f>KČV!F35</f>
        <v>239837.13664962046</v>
      </c>
      <c r="D5" s="180"/>
      <c r="E5" s="180"/>
      <c r="F5" s="180"/>
      <c r="G5" s="180"/>
    </row>
    <row r="6" spans="1:7" x14ac:dyDescent="0.25">
      <c r="A6" s="180"/>
      <c r="B6" s="180"/>
      <c r="C6" s="662"/>
      <c r="D6" s="180"/>
      <c r="E6" s="180"/>
      <c r="F6" s="180"/>
      <c r="G6" s="180"/>
    </row>
    <row r="7" spans="1:7" x14ac:dyDescent="0.25">
      <c r="A7" s="180"/>
      <c r="B7" s="180"/>
      <c r="C7" s="180"/>
      <c r="D7" s="180"/>
      <c r="E7" s="180"/>
      <c r="F7" s="180"/>
      <c r="G7" s="180"/>
    </row>
    <row r="8" spans="1:7" ht="15.75" x14ac:dyDescent="0.25">
      <c r="A8" s="663" t="s">
        <v>971</v>
      </c>
      <c r="B8" s="484"/>
      <c r="C8" s="484"/>
      <c r="D8" s="484"/>
      <c r="E8" s="484"/>
      <c r="F8" s="484"/>
      <c r="G8" s="484"/>
    </row>
    <row r="9" spans="1:7" x14ac:dyDescent="0.25">
      <c r="A9" s="180"/>
      <c r="B9" s="180"/>
      <c r="C9" s="180"/>
      <c r="D9" s="180"/>
      <c r="E9" s="180"/>
      <c r="F9" s="180"/>
      <c r="G9" s="180"/>
    </row>
    <row r="10" spans="1:7" x14ac:dyDescent="0.25">
      <c r="A10" s="664" t="s">
        <v>952</v>
      </c>
      <c r="B10" s="665"/>
      <c r="C10" s="666">
        <f>P_E!G13</f>
        <v>684885.18380000012</v>
      </c>
      <c r="D10" s="667"/>
      <c r="E10" s="180"/>
      <c r="F10" s="180"/>
      <c r="G10" s="180"/>
    </row>
    <row r="11" spans="1:7" x14ac:dyDescent="0.25">
      <c r="A11" s="664" t="s">
        <v>954</v>
      </c>
      <c r="B11" s="665"/>
      <c r="C11" s="666">
        <f>P_E!G14</f>
        <v>441352.39</v>
      </c>
      <c r="D11" s="180"/>
      <c r="E11" s="180"/>
      <c r="F11" s="180"/>
      <c r="G11" s="180"/>
    </row>
    <row r="12" spans="1:7" x14ac:dyDescent="0.25">
      <c r="A12" s="664" t="s">
        <v>956</v>
      </c>
      <c r="B12" s="665"/>
      <c r="C12" s="666">
        <f>P_E!G16</f>
        <v>534871.28</v>
      </c>
      <c r="D12" s="180"/>
      <c r="E12" s="180"/>
      <c r="F12" s="180"/>
      <c r="G12" s="180"/>
    </row>
    <row r="13" spans="1:7" x14ac:dyDescent="0.25">
      <c r="A13" s="664" t="s">
        <v>957</v>
      </c>
      <c r="B13" s="665"/>
      <c r="C13" s="666">
        <f>P_E!G17</f>
        <v>670625.3600000001</v>
      </c>
      <c r="D13" s="667"/>
      <c r="E13" s="180"/>
      <c r="F13" s="180"/>
      <c r="G13" s="180"/>
    </row>
    <row r="14" spans="1:7" x14ac:dyDescent="0.25">
      <c r="A14" s="664" t="s">
        <v>958</v>
      </c>
      <c r="B14" s="665"/>
      <c r="C14" s="666">
        <f>P_E!G18</f>
        <v>645219.62</v>
      </c>
      <c r="D14" s="668"/>
      <c r="E14" s="180"/>
      <c r="F14" s="180"/>
      <c r="G14" s="180"/>
    </row>
    <row r="15" spans="1:7" x14ac:dyDescent="0.25">
      <c r="A15" s="664" t="s">
        <v>960</v>
      </c>
      <c r="B15" s="665"/>
      <c r="C15" s="666">
        <f>P_E!G19</f>
        <v>506986.90300000005</v>
      </c>
      <c r="D15" s="180"/>
      <c r="E15" s="180"/>
      <c r="F15" s="180"/>
      <c r="G15" s="180"/>
    </row>
    <row r="16" spans="1:7" x14ac:dyDescent="0.25">
      <c r="A16" s="180"/>
      <c r="B16" s="669"/>
      <c r="C16" s="669"/>
      <c r="D16" s="668"/>
      <c r="E16" s="180"/>
      <c r="F16" s="180"/>
      <c r="G16" s="180"/>
    </row>
    <row r="17" spans="1:7" x14ac:dyDescent="0.25">
      <c r="A17" s="180"/>
      <c r="B17" s="669"/>
      <c r="C17" s="669"/>
      <c r="D17" s="668"/>
      <c r="E17" s="180"/>
      <c r="F17" s="180"/>
      <c r="G17" s="180"/>
    </row>
    <row r="18" spans="1:7" ht="15.75" x14ac:dyDescent="0.25">
      <c r="A18" s="670" t="s">
        <v>972</v>
      </c>
      <c r="B18" s="485"/>
      <c r="C18" s="485"/>
      <c r="D18" s="485"/>
      <c r="E18" s="485"/>
      <c r="F18" s="485"/>
      <c r="G18" s="485"/>
    </row>
    <row r="19" spans="1:7" ht="15.75" x14ac:dyDescent="0.25">
      <c r="A19" s="660"/>
      <c r="B19" s="180"/>
      <c r="C19" s="180"/>
      <c r="D19" s="180"/>
      <c r="E19" s="180"/>
      <c r="F19" s="180"/>
      <c r="G19" s="180"/>
    </row>
    <row r="20" spans="1:7" x14ac:dyDescent="0.25">
      <c r="A20" s="671" t="s">
        <v>973</v>
      </c>
      <c r="B20" s="671"/>
      <c r="C20" s="672">
        <f>Rozvaha!G69</f>
        <v>342904</v>
      </c>
      <c r="D20" s="180"/>
      <c r="E20" s="180"/>
      <c r="F20" s="180"/>
      <c r="G20" s="180"/>
    </row>
    <row r="21" spans="1:7" x14ac:dyDescent="0.25">
      <c r="A21" s="671" t="s">
        <v>974</v>
      </c>
      <c r="B21" s="671"/>
      <c r="C21" s="672">
        <v>310000</v>
      </c>
      <c r="D21" s="180"/>
      <c r="E21" s="180"/>
      <c r="F21" s="180"/>
      <c r="G21" s="180"/>
    </row>
    <row r="22" spans="1:7" x14ac:dyDescent="0.25">
      <c r="A22" s="671" t="s">
        <v>975</v>
      </c>
      <c r="B22" s="671"/>
      <c r="C22" s="672">
        <v>90500</v>
      </c>
      <c r="D22" s="180"/>
      <c r="E22" s="180"/>
      <c r="F22" s="180"/>
      <c r="G22" s="180"/>
    </row>
    <row r="23" spans="1:7" x14ac:dyDescent="0.25">
      <c r="A23" s="180"/>
      <c r="B23" s="180"/>
      <c r="C23" s="180"/>
      <c r="D23" s="180"/>
      <c r="E23" s="180"/>
      <c r="F23" s="180"/>
      <c r="G23" s="180"/>
    </row>
    <row r="24" spans="1:7" x14ac:dyDescent="0.25">
      <c r="A24" s="180"/>
      <c r="B24" s="180"/>
      <c r="C24" s="180"/>
      <c r="D24" s="180"/>
      <c r="E24" s="180"/>
      <c r="F24" s="180"/>
      <c r="G24" s="180"/>
    </row>
    <row r="25" spans="1:7" ht="15.75" x14ac:dyDescent="0.25">
      <c r="A25" s="673" t="s">
        <v>976</v>
      </c>
      <c r="B25" s="186"/>
      <c r="C25" s="186"/>
      <c r="D25" s="186"/>
      <c r="E25" s="186"/>
      <c r="F25" s="186"/>
      <c r="G25" s="186"/>
    </row>
    <row r="26" spans="1:7" x14ac:dyDescent="0.25">
      <c r="A26" s="180"/>
      <c r="B26" s="180"/>
      <c r="C26" s="180"/>
      <c r="D26" s="180"/>
      <c r="E26" s="180"/>
      <c r="F26" s="180"/>
      <c r="G26" s="180"/>
    </row>
    <row r="27" spans="1:7" x14ac:dyDescent="0.25">
      <c r="A27" s="486" t="s">
        <v>977</v>
      </c>
      <c r="B27" s="486"/>
      <c r="C27" s="487">
        <f>ROUND(C3,-3)</f>
        <v>714000</v>
      </c>
      <c r="D27" s="180"/>
      <c r="E27" s="180"/>
      <c r="F27" s="180"/>
      <c r="G27" s="180"/>
    </row>
    <row r="28" spans="1:7" x14ac:dyDescent="0.25">
      <c r="A28" s="674" t="s">
        <v>978</v>
      </c>
      <c r="B28" s="675"/>
      <c r="C28" s="676">
        <f>ROUND(C27-C5,-3)</f>
        <v>474000</v>
      </c>
      <c r="D28" s="180"/>
      <c r="E28" s="180"/>
      <c r="F28" s="180"/>
      <c r="G28" s="180"/>
    </row>
    <row r="29" spans="1:7" x14ac:dyDescent="0.25">
      <c r="A29" s="674" t="s">
        <v>19</v>
      </c>
      <c r="B29" s="674"/>
      <c r="C29" s="676">
        <f>C27-C21</f>
        <v>404000</v>
      </c>
      <c r="D29" s="180"/>
      <c r="E29" s="180"/>
      <c r="F29" s="180"/>
      <c r="G29" s="180"/>
    </row>
    <row r="30" spans="1:7" x14ac:dyDescent="0.25">
      <c r="A30" s="180"/>
      <c r="B30" s="180"/>
      <c r="C30" s="180"/>
      <c r="D30" s="180"/>
      <c r="E30" s="180"/>
      <c r="F30" s="180"/>
      <c r="G30" s="180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B5AFD-406D-43DA-ABD7-25DE6265B3C0}">
  <dimension ref="A2:M149"/>
  <sheetViews>
    <sheetView workbookViewId="0">
      <selection activeCell="G124" sqref="G124"/>
    </sheetView>
  </sheetViews>
  <sheetFormatPr defaultRowHeight="15" x14ac:dyDescent="0.25"/>
  <cols>
    <col min="1" max="1" width="11" style="2" customWidth="1"/>
    <col min="2" max="2" width="11.85546875" style="2" customWidth="1"/>
    <col min="3" max="3" width="15.7109375" style="2" customWidth="1"/>
    <col min="4" max="10" width="9.140625" style="2"/>
    <col min="11" max="11" width="15.7109375" style="2" customWidth="1"/>
    <col min="12" max="13" width="9.140625" style="2"/>
  </cols>
  <sheetData>
    <row r="2" spans="1:11" x14ac:dyDescent="0.25">
      <c r="A2" s="550" t="s">
        <v>1010</v>
      </c>
      <c r="B2" s="551"/>
      <c r="C2" s="551"/>
      <c r="D2" s="551"/>
    </row>
    <row r="3" spans="1:11" x14ac:dyDescent="0.25">
      <c r="A3" s="723" t="s">
        <v>990</v>
      </c>
      <c r="B3" s="723" t="s">
        <v>379</v>
      </c>
      <c r="C3" s="723" t="s">
        <v>991</v>
      </c>
      <c r="D3" s="723"/>
      <c r="E3" s="723"/>
      <c r="F3" s="723"/>
      <c r="G3" s="723"/>
      <c r="H3" s="723"/>
      <c r="I3" s="723"/>
      <c r="J3" s="543" t="s">
        <v>992</v>
      </c>
      <c r="K3" s="543" t="s">
        <v>379</v>
      </c>
    </row>
    <row r="4" spans="1:11" x14ac:dyDescent="0.25">
      <c r="A4" s="723"/>
      <c r="B4" s="723"/>
      <c r="C4" s="544" t="s">
        <v>993</v>
      </c>
      <c r="D4" s="544"/>
      <c r="E4" s="544"/>
      <c r="F4" s="544" t="s">
        <v>994</v>
      </c>
      <c r="G4" s="544"/>
      <c r="H4" s="544"/>
      <c r="I4" s="544" t="s">
        <v>995</v>
      </c>
      <c r="J4" s="543"/>
      <c r="K4" s="543" t="s">
        <v>996</v>
      </c>
    </row>
    <row r="5" spans="1:11" x14ac:dyDescent="0.25">
      <c r="A5" s="723"/>
      <c r="B5" s="723"/>
      <c r="C5" s="543">
        <v>0</v>
      </c>
      <c r="D5" s="543">
        <v>1</v>
      </c>
      <c r="E5" s="543">
        <v>2</v>
      </c>
      <c r="F5" s="543">
        <v>3</v>
      </c>
      <c r="G5" s="543">
        <v>4</v>
      </c>
      <c r="H5" s="543">
        <v>5</v>
      </c>
      <c r="I5" s="543">
        <v>6</v>
      </c>
      <c r="J5" s="543"/>
      <c r="K5" s="543" t="s">
        <v>992</v>
      </c>
    </row>
    <row r="6" spans="1:11" x14ac:dyDescent="0.25">
      <c r="A6" s="537" t="s">
        <v>997</v>
      </c>
      <c r="B6" s="538">
        <v>3</v>
      </c>
      <c r="C6" s="539" t="str">
        <f t="shared" ref="C6:I14" si="0">IF(C$4=$J6,"x","")</f>
        <v/>
      </c>
      <c r="D6" s="539" t="str">
        <f t="shared" si="0"/>
        <v/>
      </c>
      <c r="E6" s="539" t="s">
        <v>1009</v>
      </c>
      <c r="F6" s="539"/>
      <c r="G6" s="539" t="str">
        <f t="shared" si="0"/>
        <v/>
      </c>
      <c r="H6" s="539" t="str">
        <f t="shared" si="0"/>
        <v/>
      </c>
      <c r="I6" s="539" t="str">
        <f t="shared" si="0"/>
        <v/>
      </c>
      <c r="J6" s="538">
        <v>2</v>
      </c>
      <c r="K6" s="538">
        <f>B6*J6</f>
        <v>6</v>
      </c>
    </row>
    <row r="7" spans="1:11" x14ac:dyDescent="0.25">
      <c r="A7" s="537" t="s">
        <v>998</v>
      </c>
      <c r="B7" s="538">
        <v>2</v>
      </c>
      <c r="C7" s="539" t="str">
        <f t="shared" si="0"/>
        <v/>
      </c>
      <c r="D7" s="539" t="str">
        <f t="shared" si="0"/>
        <v/>
      </c>
      <c r="E7" s="539" t="str">
        <f t="shared" si="0"/>
        <v/>
      </c>
      <c r="F7" s="539" t="str">
        <f t="shared" si="0"/>
        <v/>
      </c>
      <c r="G7" s="539" t="s">
        <v>1009</v>
      </c>
      <c r="H7" s="539"/>
      <c r="I7" s="539" t="str">
        <f t="shared" si="0"/>
        <v/>
      </c>
      <c r="J7" s="538">
        <v>4</v>
      </c>
      <c r="K7" s="538">
        <f t="shared" ref="K7:K14" si="1">B7*J7</f>
        <v>8</v>
      </c>
    </row>
    <row r="8" spans="1:11" ht="25.5" x14ac:dyDescent="0.25">
      <c r="A8" s="537" t="s">
        <v>999</v>
      </c>
      <c r="B8" s="538">
        <v>3</v>
      </c>
      <c r="C8" s="539" t="str">
        <f t="shared" si="0"/>
        <v/>
      </c>
      <c r="D8" s="539"/>
      <c r="E8" s="539"/>
      <c r="F8" s="539" t="str">
        <f t="shared" si="0"/>
        <v/>
      </c>
      <c r="G8" s="539" t="str">
        <f t="shared" si="0"/>
        <v/>
      </c>
      <c r="H8" s="539" t="s">
        <v>1009</v>
      </c>
      <c r="I8" s="539" t="str">
        <f t="shared" si="0"/>
        <v/>
      </c>
      <c r="J8" s="538">
        <v>5</v>
      </c>
      <c r="K8" s="538">
        <f t="shared" si="1"/>
        <v>15</v>
      </c>
    </row>
    <row r="9" spans="1:11" ht="25.5" x14ac:dyDescent="0.25">
      <c r="A9" s="537" t="s">
        <v>1000</v>
      </c>
      <c r="B9" s="538">
        <v>2</v>
      </c>
      <c r="C9" s="539" t="str">
        <f t="shared" si="0"/>
        <v/>
      </c>
      <c r="D9" s="539" t="str">
        <f t="shared" si="0"/>
        <v/>
      </c>
      <c r="E9" s="539" t="s">
        <v>1009</v>
      </c>
      <c r="F9" s="539" t="str">
        <f t="shared" si="0"/>
        <v/>
      </c>
      <c r="G9" s="539" t="str">
        <f t="shared" si="0"/>
        <v/>
      </c>
      <c r="H9" s="539" t="str">
        <f t="shared" si="0"/>
        <v/>
      </c>
      <c r="I9" s="539" t="str">
        <f t="shared" si="0"/>
        <v/>
      </c>
      <c r="J9" s="538">
        <v>2</v>
      </c>
      <c r="K9" s="538">
        <f t="shared" si="1"/>
        <v>4</v>
      </c>
    </row>
    <row r="10" spans="1:11" ht="25.5" x14ac:dyDescent="0.25">
      <c r="A10" s="537" t="s">
        <v>1001</v>
      </c>
      <c r="B10" s="538">
        <v>1</v>
      </c>
      <c r="C10" s="539" t="str">
        <f t="shared" si="0"/>
        <v/>
      </c>
      <c r="D10" s="539" t="str">
        <f t="shared" si="0"/>
        <v/>
      </c>
      <c r="E10" s="539" t="s">
        <v>1009</v>
      </c>
      <c r="F10" s="539" t="str">
        <f t="shared" si="0"/>
        <v/>
      </c>
      <c r="G10" s="539" t="str">
        <f t="shared" si="0"/>
        <v/>
      </c>
      <c r="H10" s="539" t="str">
        <f t="shared" si="0"/>
        <v/>
      </c>
      <c r="I10" s="539" t="str">
        <f t="shared" si="0"/>
        <v/>
      </c>
      <c r="J10" s="538">
        <v>2</v>
      </c>
      <c r="K10" s="538">
        <f t="shared" si="1"/>
        <v>2</v>
      </c>
    </row>
    <row r="11" spans="1:11" ht="25.5" x14ac:dyDescent="0.25">
      <c r="A11" s="537" t="s">
        <v>1002</v>
      </c>
      <c r="B11" s="538">
        <v>1</v>
      </c>
      <c r="C11" s="539" t="str">
        <f t="shared" si="0"/>
        <v/>
      </c>
      <c r="D11" s="539" t="str">
        <f t="shared" si="0"/>
        <v/>
      </c>
      <c r="E11" s="539" t="str">
        <f t="shared" si="0"/>
        <v/>
      </c>
      <c r="F11" s="539" t="str">
        <f t="shared" si="0"/>
        <v/>
      </c>
      <c r="G11" s="539" t="s">
        <v>1009</v>
      </c>
      <c r="H11" s="539"/>
      <c r="I11" s="539" t="str">
        <f t="shared" si="0"/>
        <v/>
      </c>
      <c r="J11" s="538">
        <v>4</v>
      </c>
      <c r="K11" s="538">
        <f t="shared" si="1"/>
        <v>4</v>
      </c>
    </row>
    <row r="12" spans="1:11" ht="25.5" x14ac:dyDescent="0.25">
      <c r="A12" s="537" t="s">
        <v>1003</v>
      </c>
      <c r="B12" s="538">
        <v>1</v>
      </c>
      <c r="C12" s="539" t="str">
        <f t="shared" si="0"/>
        <v/>
      </c>
      <c r="D12" s="539" t="str">
        <f t="shared" si="0"/>
        <v/>
      </c>
      <c r="E12" s="539" t="str">
        <f t="shared" si="0"/>
        <v/>
      </c>
      <c r="F12" s="539" t="str">
        <f t="shared" si="0"/>
        <v/>
      </c>
      <c r="G12" s="539" t="str">
        <f t="shared" si="0"/>
        <v/>
      </c>
      <c r="H12" s="539" t="s">
        <v>1009</v>
      </c>
      <c r="I12" s="539" t="str">
        <f t="shared" si="0"/>
        <v/>
      </c>
      <c r="J12" s="538">
        <v>5</v>
      </c>
      <c r="K12" s="538">
        <f t="shared" si="1"/>
        <v>5</v>
      </c>
    </row>
    <row r="13" spans="1:11" ht="25.5" x14ac:dyDescent="0.25">
      <c r="A13" s="537" t="s">
        <v>1004</v>
      </c>
      <c r="B13" s="538">
        <v>2</v>
      </c>
      <c r="C13" s="539" t="str">
        <f t="shared" si="0"/>
        <v/>
      </c>
      <c r="D13" s="539" t="str">
        <f t="shared" si="0"/>
        <v/>
      </c>
      <c r="E13" s="539"/>
      <c r="F13" s="539" t="s">
        <v>1009</v>
      </c>
      <c r="G13" s="539" t="str">
        <f t="shared" si="0"/>
        <v/>
      </c>
      <c r="H13" s="539" t="str">
        <f t="shared" si="0"/>
        <v/>
      </c>
      <c r="I13" s="539" t="str">
        <f t="shared" si="0"/>
        <v/>
      </c>
      <c r="J13" s="538">
        <v>3</v>
      </c>
      <c r="K13" s="538">
        <f t="shared" si="1"/>
        <v>6</v>
      </c>
    </row>
    <row r="14" spans="1:11" ht="25.5" x14ac:dyDescent="0.25">
      <c r="A14" s="537" t="s">
        <v>1005</v>
      </c>
      <c r="B14" s="538">
        <v>1</v>
      </c>
      <c r="C14" s="539" t="str">
        <f t="shared" si="0"/>
        <v/>
      </c>
      <c r="D14" s="539" t="str">
        <f t="shared" si="0"/>
        <v/>
      </c>
      <c r="E14" s="539" t="str">
        <f t="shared" si="0"/>
        <v/>
      </c>
      <c r="F14" s="539" t="str">
        <f t="shared" si="0"/>
        <v/>
      </c>
      <c r="G14" s="539" t="str">
        <f t="shared" si="0"/>
        <v/>
      </c>
      <c r="H14" s="539" t="s">
        <v>1009</v>
      </c>
      <c r="I14" s="539" t="str">
        <f t="shared" si="0"/>
        <v/>
      </c>
      <c r="J14" s="538">
        <v>5</v>
      </c>
      <c r="K14" s="538">
        <f t="shared" si="1"/>
        <v>5</v>
      </c>
    </row>
    <row r="15" spans="1:11" x14ac:dyDescent="0.25">
      <c r="A15" s="540" t="s">
        <v>548</v>
      </c>
      <c r="B15" s="541">
        <f>SUM(B6:B14)</f>
        <v>16</v>
      </c>
      <c r="C15" s="542"/>
      <c r="D15" s="542"/>
      <c r="E15" s="542"/>
      <c r="F15" s="542"/>
      <c r="G15" s="542"/>
      <c r="H15" s="542"/>
      <c r="I15" s="542"/>
      <c r="J15" s="541"/>
      <c r="K15" s="541">
        <f>SUM(K6:K14)</f>
        <v>55</v>
      </c>
    </row>
    <row r="17" spans="1:11" x14ac:dyDescent="0.25">
      <c r="A17" s="546" t="s">
        <v>1006</v>
      </c>
      <c r="B17" s="547"/>
      <c r="C17" s="547"/>
      <c r="D17" s="548">
        <f>B15*I5</f>
        <v>96</v>
      </c>
      <c r="F17" s="545"/>
    </row>
    <row r="18" spans="1:11" x14ac:dyDescent="0.25">
      <c r="A18" s="547" t="s">
        <v>1007</v>
      </c>
      <c r="B18" s="547"/>
      <c r="C18" s="547"/>
      <c r="D18" s="548">
        <f>K15</f>
        <v>55</v>
      </c>
    </row>
    <row r="19" spans="1:11" x14ac:dyDescent="0.25">
      <c r="A19" s="206" t="s">
        <v>1008</v>
      </c>
      <c r="B19" s="206"/>
      <c r="C19" s="206"/>
      <c r="D19" s="549">
        <f>D18/D17</f>
        <v>0.57291666666666663</v>
      </c>
    </row>
    <row r="23" spans="1:11" x14ac:dyDescent="0.25">
      <c r="A23" s="550" t="s">
        <v>1139</v>
      </c>
    </row>
    <row r="24" spans="1:11" x14ac:dyDescent="0.25">
      <c r="A24" s="724" t="s">
        <v>990</v>
      </c>
      <c r="B24" s="724"/>
      <c r="C24" s="724" t="s">
        <v>1011</v>
      </c>
      <c r="D24" s="724" t="s">
        <v>1012</v>
      </c>
      <c r="E24" s="724"/>
      <c r="F24" s="724"/>
      <c r="G24" s="724"/>
      <c r="H24" s="724"/>
      <c r="I24" s="724"/>
      <c r="J24" s="724"/>
      <c r="K24" s="724" t="s">
        <v>1013</v>
      </c>
    </row>
    <row r="25" spans="1:11" ht="26.25" customHeight="1" x14ac:dyDescent="0.25">
      <c r="A25" s="724"/>
      <c r="B25" s="724"/>
      <c r="C25" s="724"/>
      <c r="D25" s="556">
        <v>0</v>
      </c>
      <c r="E25" s="556">
        <v>1</v>
      </c>
      <c r="F25" s="556">
        <v>2</v>
      </c>
      <c r="G25" s="556">
        <v>3</v>
      </c>
      <c r="H25" s="556">
        <v>4</v>
      </c>
      <c r="I25" s="556">
        <v>5</v>
      </c>
      <c r="J25" s="556">
        <v>6</v>
      </c>
      <c r="K25" s="724"/>
    </row>
    <row r="26" spans="1:11" ht="25.5" x14ac:dyDescent="0.25">
      <c r="A26" s="557">
        <v>1</v>
      </c>
      <c r="B26" s="553" t="s">
        <v>1014</v>
      </c>
      <c r="C26" s="553" t="s">
        <v>1015</v>
      </c>
      <c r="D26" s="539"/>
      <c r="E26" s="539"/>
      <c r="F26" s="539"/>
      <c r="G26" s="539"/>
      <c r="H26" s="539" t="s">
        <v>1009</v>
      </c>
      <c r="I26" s="539"/>
      <c r="J26" s="539"/>
      <c r="K26" s="553" t="s">
        <v>1016</v>
      </c>
    </row>
    <row r="27" spans="1:11" ht="38.25" x14ac:dyDescent="0.25">
      <c r="A27" s="557">
        <v>2</v>
      </c>
      <c r="B27" s="553" t="s">
        <v>1017</v>
      </c>
      <c r="C27" s="553" t="s">
        <v>1018</v>
      </c>
      <c r="D27" s="539"/>
      <c r="E27" s="539"/>
      <c r="F27" s="539"/>
      <c r="G27" s="539"/>
      <c r="H27" s="539"/>
      <c r="I27" s="539" t="s">
        <v>1009</v>
      </c>
      <c r="J27" s="539"/>
      <c r="K27" s="553" t="s">
        <v>1019</v>
      </c>
    </row>
    <row r="28" spans="1:11" ht="25.5" x14ac:dyDescent="0.25">
      <c r="A28" s="557">
        <v>3</v>
      </c>
      <c r="B28" s="553" t="s">
        <v>1020</v>
      </c>
      <c r="C28" s="553" t="s">
        <v>1021</v>
      </c>
      <c r="D28" s="539"/>
      <c r="E28" s="539"/>
      <c r="F28" s="539"/>
      <c r="G28" s="539" t="s">
        <v>1009</v>
      </c>
      <c r="H28" s="539"/>
      <c r="I28" s="539"/>
      <c r="J28" s="539"/>
      <c r="K28" s="553" t="s">
        <v>1022</v>
      </c>
    </row>
    <row r="29" spans="1:11" ht="38.25" x14ac:dyDescent="0.25">
      <c r="A29" s="557">
        <v>4</v>
      </c>
      <c r="B29" s="553" t="s">
        <v>1023</v>
      </c>
      <c r="C29" s="553" t="s">
        <v>1024</v>
      </c>
      <c r="D29" s="539"/>
      <c r="E29" s="539"/>
      <c r="F29" s="539"/>
      <c r="G29" s="539"/>
      <c r="H29" s="539" t="s">
        <v>1009</v>
      </c>
      <c r="I29" s="539"/>
      <c r="J29" s="539"/>
      <c r="K29" s="553" t="s">
        <v>1025</v>
      </c>
    </row>
    <row r="30" spans="1:11" ht="38.25" x14ac:dyDescent="0.25">
      <c r="A30" s="557">
        <v>5</v>
      </c>
      <c r="B30" s="553" t="s">
        <v>1026</v>
      </c>
      <c r="C30" s="553" t="s">
        <v>1027</v>
      </c>
      <c r="D30" s="539"/>
      <c r="E30" s="539"/>
      <c r="F30" s="539"/>
      <c r="G30" s="539"/>
      <c r="H30" s="539" t="s">
        <v>1009</v>
      </c>
      <c r="I30" s="539"/>
      <c r="J30" s="539"/>
      <c r="K30" s="553" t="s">
        <v>1028</v>
      </c>
    </row>
    <row r="31" spans="1:11" ht="38.25" x14ac:dyDescent="0.25">
      <c r="A31" s="557">
        <v>6</v>
      </c>
      <c r="B31" s="553" t="s">
        <v>1029</v>
      </c>
      <c r="C31" s="553" t="s">
        <v>1030</v>
      </c>
      <c r="D31" s="539"/>
      <c r="E31" s="539"/>
      <c r="F31" s="539"/>
      <c r="G31" s="539"/>
      <c r="H31" s="539"/>
      <c r="I31" s="539" t="s">
        <v>1009</v>
      </c>
      <c r="J31" s="539"/>
      <c r="K31" s="553" t="s">
        <v>1031</v>
      </c>
    </row>
    <row r="32" spans="1:11" ht="25.5" x14ac:dyDescent="0.25">
      <c r="A32" s="557">
        <v>7</v>
      </c>
      <c r="B32" s="553" t="s">
        <v>1032</v>
      </c>
      <c r="C32" s="553" t="s">
        <v>1033</v>
      </c>
      <c r="D32" s="539"/>
      <c r="E32" s="539"/>
      <c r="F32" s="539"/>
      <c r="G32" s="539"/>
      <c r="H32" s="539" t="s">
        <v>1009</v>
      </c>
      <c r="I32" s="539"/>
      <c r="J32" s="539"/>
      <c r="K32" s="553" t="s">
        <v>1034</v>
      </c>
    </row>
    <row r="33" spans="1:11" ht="25.5" x14ac:dyDescent="0.25">
      <c r="A33" s="557">
        <v>8</v>
      </c>
      <c r="B33" s="553" t="s">
        <v>1035</v>
      </c>
      <c r="C33" s="553" t="s">
        <v>1036</v>
      </c>
      <c r="D33" s="539"/>
      <c r="E33" s="539"/>
      <c r="F33" s="539"/>
      <c r="G33" s="539"/>
      <c r="H33" s="539" t="s">
        <v>1009</v>
      </c>
      <c r="I33" s="539"/>
      <c r="J33" s="539"/>
      <c r="K33" s="553" t="s">
        <v>1037</v>
      </c>
    </row>
    <row r="34" spans="1:11" ht="25.5" x14ac:dyDescent="0.25">
      <c r="A34" s="557">
        <v>9</v>
      </c>
      <c r="B34" s="553" t="s">
        <v>1038</v>
      </c>
      <c r="C34" s="553" t="s">
        <v>1039</v>
      </c>
      <c r="D34" s="539"/>
      <c r="E34" s="539"/>
      <c r="F34" s="539"/>
      <c r="G34" s="539"/>
      <c r="H34" s="539"/>
      <c r="I34" s="539" t="s">
        <v>1009</v>
      </c>
      <c r="J34" s="539"/>
      <c r="K34" s="553" t="s">
        <v>1040</v>
      </c>
    </row>
    <row r="35" spans="1:11" ht="51" x14ac:dyDescent="0.25">
      <c r="A35" s="557">
        <v>10</v>
      </c>
      <c r="B35" s="553" t="s">
        <v>1041</v>
      </c>
      <c r="C35" s="553" t="s">
        <v>1042</v>
      </c>
      <c r="D35" s="539"/>
      <c r="E35" s="539"/>
      <c r="F35" s="539"/>
      <c r="G35" s="539"/>
      <c r="H35" s="539" t="s">
        <v>1009</v>
      </c>
      <c r="I35" s="539"/>
      <c r="J35" s="539"/>
      <c r="K35" s="553" t="s">
        <v>1043</v>
      </c>
    </row>
    <row r="36" spans="1:11" x14ac:dyDescent="0.25">
      <c r="A36" s="725" t="s">
        <v>1044</v>
      </c>
      <c r="B36" s="725"/>
      <c r="C36" s="554"/>
      <c r="D36" s="191">
        <f>COUNTIF(D26:D35,"&lt;&gt;")</f>
        <v>0</v>
      </c>
      <c r="E36" s="191">
        <f t="shared" ref="E36:J36" si="2">COUNTIF(E26:E35,"&lt;&gt;")</f>
        <v>0</v>
      </c>
      <c r="F36" s="191">
        <f t="shared" si="2"/>
        <v>0</v>
      </c>
      <c r="G36" s="191">
        <f t="shared" si="2"/>
        <v>1</v>
      </c>
      <c r="H36" s="191">
        <f t="shared" si="2"/>
        <v>6</v>
      </c>
      <c r="I36" s="191">
        <f t="shared" si="2"/>
        <v>3</v>
      </c>
      <c r="J36" s="191">
        <f t="shared" si="2"/>
        <v>0</v>
      </c>
      <c r="K36" s="554"/>
    </row>
    <row r="37" spans="1:11" x14ac:dyDescent="0.25">
      <c r="A37" s="725" t="s">
        <v>1140</v>
      </c>
      <c r="B37" s="725"/>
      <c r="C37" s="554"/>
      <c r="D37" s="191">
        <f>D36*D25</f>
        <v>0</v>
      </c>
      <c r="E37" s="191">
        <f t="shared" ref="E37:J37" si="3">E36*E25</f>
        <v>0</v>
      </c>
      <c r="F37" s="191">
        <f t="shared" si="3"/>
        <v>0</v>
      </c>
      <c r="G37" s="191">
        <f t="shared" si="3"/>
        <v>3</v>
      </c>
      <c r="H37" s="191">
        <f t="shared" si="3"/>
        <v>24</v>
      </c>
      <c r="I37" s="191">
        <f t="shared" si="3"/>
        <v>15</v>
      </c>
      <c r="J37" s="191">
        <f t="shared" si="3"/>
        <v>0</v>
      </c>
      <c r="K37" s="554"/>
    </row>
    <row r="39" spans="1:11" x14ac:dyDescent="0.25">
      <c r="A39" s="555" t="s">
        <v>1045</v>
      </c>
      <c r="B39" s="555"/>
      <c r="C39" s="555"/>
      <c r="D39" s="555">
        <f>SUM(D37:J37)</f>
        <v>42</v>
      </c>
    </row>
    <row r="40" spans="1:11" x14ac:dyDescent="0.25">
      <c r="A40" s="196" t="s">
        <v>1046</v>
      </c>
      <c r="B40" s="196"/>
      <c r="C40" s="196"/>
      <c r="D40" s="558">
        <f>ROUND(D39/A35,0)</f>
        <v>4</v>
      </c>
    </row>
    <row r="43" spans="1:11" x14ac:dyDescent="0.25">
      <c r="A43" s="550" t="s">
        <v>1141</v>
      </c>
    </row>
    <row r="44" spans="1:11" x14ac:dyDescent="0.25">
      <c r="A44" s="724" t="s">
        <v>990</v>
      </c>
      <c r="B44" s="724"/>
      <c r="C44" s="724" t="s">
        <v>1011</v>
      </c>
      <c r="D44" s="724" t="s">
        <v>1012</v>
      </c>
      <c r="E44" s="724"/>
      <c r="F44" s="724"/>
      <c r="G44" s="724"/>
      <c r="H44" s="724"/>
      <c r="I44" s="724"/>
      <c r="J44" s="724"/>
      <c r="K44" s="724" t="s">
        <v>1047</v>
      </c>
    </row>
    <row r="45" spans="1:11" ht="24.75" customHeight="1" x14ac:dyDescent="0.25">
      <c r="A45" s="724"/>
      <c r="B45" s="724"/>
      <c r="C45" s="724"/>
      <c r="D45" s="556">
        <v>0</v>
      </c>
      <c r="E45" s="556">
        <v>1</v>
      </c>
      <c r="F45" s="556">
        <v>2</v>
      </c>
      <c r="G45" s="556">
        <v>3</v>
      </c>
      <c r="H45" s="556">
        <v>4</v>
      </c>
      <c r="I45" s="556">
        <v>5</v>
      </c>
      <c r="J45" s="556">
        <v>6</v>
      </c>
      <c r="K45" s="724"/>
    </row>
    <row r="46" spans="1:11" x14ac:dyDescent="0.25">
      <c r="A46" s="726" t="s">
        <v>1048</v>
      </c>
      <c r="B46" s="726"/>
      <c r="C46" s="726"/>
      <c r="D46" s="726"/>
      <c r="E46" s="726"/>
      <c r="F46" s="726"/>
      <c r="G46" s="726"/>
      <c r="H46" s="726"/>
      <c r="I46" s="726"/>
      <c r="J46" s="726"/>
      <c r="K46" s="726"/>
    </row>
    <row r="47" spans="1:11" ht="63.75" x14ac:dyDescent="0.25">
      <c r="A47" s="552">
        <v>1</v>
      </c>
      <c r="B47" s="553" t="s">
        <v>1049</v>
      </c>
      <c r="C47" s="553" t="s">
        <v>1050</v>
      </c>
      <c r="D47" s="539"/>
      <c r="E47" s="539"/>
      <c r="F47" s="539"/>
      <c r="G47" s="539" t="s">
        <v>1009</v>
      </c>
      <c r="H47" s="539"/>
      <c r="I47" s="539"/>
      <c r="J47" s="539"/>
      <c r="K47" s="553" t="s">
        <v>1051</v>
      </c>
    </row>
    <row r="48" spans="1:11" ht="63.75" x14ac:dyDescent="0.25">
      <c r="A48" s="552">
        <v>2</v>
      </c>
      <c r="B48" s="553" t="s">
        <v>1052</v>
      </c>
      <c r="C48" s="553" t="s">
        <v>1053</v>
      </c>
      <c r="D48" s="539"/>
      <c r="E48" s="539"/>
      <c r="F48" s="539"/>
      <c r="G48" s="539"/>
      <c r="H48" s="539"/>
      <c r="I48" s="539" t="s">
        <v>1009</v>
      </c>
      <c r="J48" s="539"/>
      <c r="K48" s="553" t="s">
        <v>1054</v>
      </c>
    </row>
    <row r="49" spans="1:11" ht="63.75" x14ac:dyDescent="0.25">
      <c r="A49" s="552">
        <v>3</v>
      </c>
      <c r="B49" s="553" t="s">
        <v>1055</v>
      </c>
      <c r="C49" s="553" t="s">
        <v>1056</v>
      </c>
      <c r="D49" s="539"/>
      <c r="E49" s="539"/>
      <c r="F49" s="539"/>
      <c r="G49" s="539"/>
      <c r="H49" s="539"/>
      <c r="I49" s="539" t="s">
        <v>1009</v>
      </c>
      <c r="J49" s="539"/>
      <c r="K49" s="553" t="s">
        <v>1057</v>
      </c>
    </row>
    <row r="50" spans="1:11" x14ac:dyDescent="0.25">
      <c r="A50" s="726" t="s">
        <v>1058</v>
      </c>
      <c r="B50" s="726"/>
      <c r="C50" s="726"/>
      <c r="D50" s="726"/>
      <c r="E50" s="726"/>
      <c r="F50" s="726"/>
      <c r="G50" s="726"/>
      <c r="H50" s="726"/>
      <c r="I50" s="726"/>
      <c r="J50" s="726"/>
      <c r="K50" s="726"/>
    </row>
    <row r="51" spans="1:11" ht="38.25" x14ac:dyDescent="0.25">
      <c r="A51" s="552">
        <v>4</v>
      </c>
      <c r="B51" s="553" t="s">
        <v>1059</v>
      </c>
      <c r="C51" s="553" t="s">
        <v>1060</v>
      </c>
      <c r="D51" s="539"/>
      <c r="E51" s="539"/>
      <c r="F51" s="539"/>
      <c r="G51" s="539"/>
      <c r="H51" s="539"/>
      <c r="I51" s="539" t="s">
        <v>1009</v>
      </c>
      <c r="J51" s="539"/>
      <c r="K51" s="553" t="s">
        <v>1061</v>
      </c>
    </row>
    <row r="52" spans="1:11" ht="51" x14ac:dyDescent="0.25">
      <c r="A52" s="552">
        <v>5</v>
      </c>
      <c r="B52" s="553" t="s">
        <v>1062</v>
      </c>
      <c r="C52" s="553" t="s">
        <v>1063</v>
      </c>
      <c r="D52" s="539"/>
      <c r="E52" s="539"/>
      <c r="F52" s="539"/>
      <c r="G52" s="539"/>
      <c r="H52" s="539" t="s">
        <v>1009</v>
      </c>
      <c r="I52" s="539"/>
      <c r="J52" s="539"/>
      <c r="K52" s="553" t="s">
        <v>1064</v>
      </c>
    </row>
    <row r="53" spans="1:11" x14ac:dyDescent="0.25">
      <c r="A53" s="726" t="s">
        <v>1065</v>
      </c>
      <c r="B53" s="726"/>
      <c r="C53" s="726"/>
      <c r="D53" s="726"/>
      <c r="E53" s="726"/>
      <c r="F53" s="726"/>
      <c r="G53" s="726"/>
      <c r="H53" s="726"/>
      <c r="I53" s="726"/>
      <c r="J53" s="726"/>
      <c r="K53" s="726"/>
    </row>
    <row r="54" spans="1:11" ht="89.25" x14ac:dyDescent="0.25">
      <c r="A54" s="552">
        <v>6</v>
      </c>
      <c r="B54" s="553" t="s">
        <v>1066</v>
      </c>
      <c r="C54" s="553" t="s">
        <v>1067</v>
      </c>
      <c r="D54" s="539"/>
      <c r="E54" s="539"/>
      <c r="F54" s="539"/>
      <c r="G54" s="539"/>
      <c r="H54" s="539"/>
      <c r="I54" s="539" t="s">
        <v>1009</v>
      </c>
      <c r="J54" s="539"/>
      <c r="K54" s="553" t="s">
        <v>1068</v>
      </c>
    </row>
    <row r="55" spans="1:11" ht="38.25" x14ac:dyDescent="0.25">
      <c r="A55" s="552">
        <v>7</v>
      </c>
      <c r="B55" s="553" t="s">
        <v>1069</v>
      </c>
      <c r="C55" s="553" t="s">
        <v>1070</v>
      </c>
      <c r="D55" s="539"/>
      <c r="E55" s="539"/>
      <c r="F55" s="539"/>
      <c r="G55" s="539" t="s">
        <v>1009</v>
      </c>
      <c r="H55" s="539"/>
      <c r="I55" s="539"/>
      <c r="J55" s="539"/>
      <c r="K55" s="553" t="s">
        <v>1071</v>
      </c>
    </row>
    <row r="56" spans="1:11" x14ac:dyDescent="0.25">
      <c r="A56" s="725" t="s">
        <v>1044</v>
      </c>
      <c r="B56" s="725"/>
      <c r="C56" s="554"/>
      <c r="D56" s="191">
        <f>COUNTIF(D46:D55,"&lt;&gt;")</f>
        <v>0</v>
      </c>
      <c r="E56" s="191">
        <f t="shared" ref="E56:J56" si="4">COUNTIF(E46:E55,"&lt;&gt;")</f>
        <v>0</v>
      </c>
      <c r="F56" s="191">
        <f t="shared" si="4"/>
        <v>0</v>
      </c>
      <c r="G56" s="191">
        <f t="shared" si="4"/>
        <v>2</v>
      </c>
      <c r="H56" s="191">
        <f t="shared" si="4"/>
        <v>1</v>
      </c>
      <c r="I56" s="191">
        <f t="shared" si="4"/>
        <v>4</v>
      </c>
      <c r="J56" s="191">
        <f t="shared" si="4"/>
        <v>0</v>
      </c>
      <c r="K56" s="554"/>
    </row>
    <row r="57" spans="1:11" x14ac:dyDescent="0.25">
      <c r="A57" s="725" t="s">
        <v>1140</v>
      </c>
      <c r="B57" s="725"/>
      <c r="C57" s="554"/>
      <c r="D57" s="191">
        <f>D56*D45</f>
        <v>0</v>
      </c>
      <c r="E57" s="191">
        <f t="shared" ref="E57:J57" si="5">E56*E45</f>
        <v>0</v>
      </c>
      <c r="F57" s="191">
        <f t="shared" si="5"/>
        <v>0</v>
      </c>
      <c r="G57" s="191">
        <f t="shared" si="5"/>
        <v>6</v>
      </c>
      <c r="H57" s="191">
        <f t="shared" si="5"/>
        <v>4</v>
      </c>
      <c r="I57" s="191">
        <f t="shared" si="5"/>
        <v>20</v>
      </c>
      <c r="J57" s="191">
        <f t="shared" si="5"/>
        <v>0</v>
      </c>
      <c r="K57" s="554"/>
    </row>
    <row r="59" spans="1:11" x14ac:dyDescent="0.25">
      <c r="A59" s="555" t="s">
        <v>1045</v>
      </c>
      <c r="B59" s="555"/>
      <c r="C59" s="555"/>
      <c r="D59" s="555">
        <f>SUM(D57:J57)</f>
        <v>30</v>
      </c>
    </row>
    <row r="60" spans="1:11" x14ac:dyDescent="0.25">
      <c r="A60" s="196" t="s">
        <v>1046</v>
      </c>
      <c r="B60" s="196"/>
      <c r="C60" s="196"/>
      <c r="D60" s="196">
        <f>ROUND(D59/A55,0)</f>
        <v>4</v>
      </c>
    </row>
    <row r="63" spans="1:11" x14ac:dyDescent="0.25">
      <c r="A63" s="550" t="s">
        <v>1142</v>
      </c>
    </row>
    <row r="64" spans="1:11" x14ac:dyDescent="0.25">
      <c r="A64" s="724" t="s">
        <v>990</v>
      </c>
      <c r="B64" s="724"/>
      <c r="C64" s="724" t="s">
        <v>1011</v>
      </c>
      <c r="D64" s="724" t="s">
        <v>1012</v>
      </c>
      <c r="E64" s="724"/>
      <c r="F64" s="724"/>
      <c r="G64" s="724"/>
      <c r="H64" s="724"/>
      <c r="I64" s="724"/>
      <c r="J64" s="724"/>
      <c r="K64" s="724" t="s">
        <v>1013</v>
      </c>
    </row>
    <row r="65" spans="1:11" ht="27" customHeight="1" x14ac:dyDescent="0.25">
      <c r="A65" s="724"/>
      <c r="B65" s="724"/>
      <c r="C65" s="724"/>
      <c r="D65" s="556">
        <v>0</v>
      </c>
      <c r="E65" s="556">
        <v>1</v>
      </c>
      <c r="F65" s="556">
        <v>2</v>
      </c>
      <c r="G65" s="556">
        <v>3</v>
      </c>
      <c r="H65" s="556">
        <v>4</v>
      </c>
      <c r="I65" s="556">
        <v>5</v>
      </c>
      <c r="J65" s="556">
        <v>6</v>
      </c>
      <c r="K65" s="724"/>
    </row>
    <row r="66" spans="1:11" x14ac:dyDescent="0.25">
      <c r="A66" s="726" t="s">
        <v>1072</v>
      </c>
      <c r="B66" s="726"/>
      <c r="C66" s="726"/>
      <c r="D66" s="726"/>
      <c r="E66" s="726"/>
      <c r="F66" s="726"/>
      <c r="G66" s="726"/>
      <c r="H66" s="726"/>
      <c r="I66" s="726"/>
      <c r="J66" s="726"/>
      <c r="K66" s="726"/>
    </row>
    <row r="67" spans="1:11" ht="76.5" x14ac:dyDescent="0.25">
      <c r="A67" s="552">
        <v>1</v>
      </c>
      <c r="B67" s="553" t="s">
        <v>1073</v>
      </c>
      <c r="C67" s="553" t="s">
        <v>1074</v>
      </c>
      <c r="D67" s="539"/>
      <c r="E67" s="539"/>
      <c r="F67" s="539"/>
      <c r="G67" s="539"/>
      <c r="H67" s="539"/>
      <c r="I67" s="539"/>
      <c r="J67" s="539"/>
      <c r="K67" s="553" t="s">
        <v>1075</v>
      </c>
    </row>
    <row r="68" spans="1:11" ht="51" x14ac:dyDescent="0.25">
      <c r="A68" s="552">
        <v>2</v>
      </c>
      <c r="B68" s="553" t="s">
        <v>1076</v>
      </c>
      <c r="C68" s="553" t="s">
        <v>1077</v>
      </c>
      <c r="D68" s="539"/>
      <c r="E68" s="539"/>
      <c r="F68" s="539"/>
      <c r="G68" s="539"/>
      <c r="H68" s="539"/>
      <c r="I68" s="539"/>
      <c r="J68" s="539"/>
      <c r="K68" s="553" t="s">
        <v>1078</v>
      </c>
    </row>
    <row r="69" spans="1:11" ht="76.5" x14ac:dyDescent="0.25">
      <c r="A69" s="552">
        <v>3</v>
      </c>
      <c r="B69" s="553" t="s">
        <v>1079</v>
      </c>
      <c r="C69" s="553" t="s">
        <v>1080</v>
      </c>
      <c r="D69" s="539"/>
      <c r="E69" s="539"/>
      <c r="F69" s="539"/>
      <c r="G69" s="539"/>
      <c r="H69" s="539"/>
      <c r="I69" s="539"/>
      <c r="J69" s="539"/>
      <c r="K69" s="553" t="s">
        <v>1081</v>
      </c>
    </row>
    <row r="70" spans="1:11" ht="63.75" x14ac:dyDescent="0.25">
      <c r="A70" s="552">
        <v>4</v>
      </c>
      <c r="B70" s="553" t="s">
        <v>1082</v>
      </c>
      <c r="C70" s="553" t="s">
        <v>1083</v>
      </c>
      <c r="D70" s="539"/>
      <c r="E70" s="539"/>
      <c r="F70" s="539"/>
      <c r="G70" s="539"/>
      <c r="H70" s="539"/>
      <c r="I70" s="539"/>
      <c r="J70" s="539"/>
      <c r="K70" s="553" t="s">
        <v>1084</v>
      </c>
    </row>
    <row r="71" spans="1:11" x14ac:dyDescent="0.25">
      <c r="A71" s="726" t="s">
        <v>1085</v>
      </c>
      <c r="B71" s="726"/>
      <c r="C71" s="726"/>
      <c r="D71" s="726"/>
      <c r="E71" s="726"/>
      <c r="F71" s="726"/>
      <c r="G71" s="726"/>
      <c r="H71" s="726"/>
      <c r="I71" s="726"/>
      <c r="J71" s="726"/>
      <c r="K71" s="726"/>
    </row>
    <row r="72" spans="1:11" ht="38.25" x14ac:dyDescent="0.25">
      <c r="A72" s="552">
        <v>5</v>
      </c>
      <c r="B72" s="553" t="s">
        <v>1086</v>
      </c>
      <c r="C72" s="553" t="s">
        <v>1087</v>
      </c>
      <c r="D72" s="539"/>
      <c r="E72" s="539"/>
      <c r="F72" s="539"/>
      <c r="G72" s="539"/>
      <c r="H72" s="539"/>
      <c r="I72" s="539"/>
      <c r="J72" s="539"/>
      <c r="K72" s="553" t="s">
        <v>1088</v>
      </c>
    </row>
    <row r="73" spans="1:11" ht="51" x14ac:dyDescent="0.25">
      <c r="A73" s="552">
        <v>6</v>
      </c>
      <c r="B73" s="553" t="s">
        <v>1089</v>
      </c>
      <c r="C73" s="553" t="s">
        <v>1090</v>
      </c>
      <c r="D73" s="539"/>
      <c r="E73" s="539"/>
      <c r="F73" s="539"/>
      <c r="G73" s="539"/>
      <c r="H73" s="539"/>
      <c r="I73" s="539"/>
      <c r="J73" s="539"/>
      <c r="K73" s="553" t="s">
        <v>1081</v>
      </c>
    </row>
    <row r="74" spans="1:11" ht="76.5" x14ac:dyDescent="0.25">
      <c r="A74" s="552">
        <v>7</v>
      </c>
      <c r="B74" s="553" t="s">
        <v>1091</v>
      </c>
      <c r="C74" s="553" t="s">
        <v>1092</v>
      </c>
      <c r="D74" s="539"/>
      <c r="E74" s="539"/>
      <c r="F74" s="539"/>
      <c r="G74" s="539"/>
      <c r="H74" s="539"/>
      <c r="I74" s="539"/>
      <c r="J74" s="539"/>
      <c r="K74" s="553" t="s">
        <v>1093</v>
      </c>
    </row>
    <row r="75" spans="1:11" ht="63.75" x14ac:dyDescent="0.25">
      <c r="A75" s="552">
        <v>8</v>
      </c>
      <c r="B75" s="553" t="s">
        <v>1094</v>
      </c>
      <c r="C75" s="553" t="s">
        <v>1095</v>
      </c>
      <c r="D75" s="539"/>
      <c r="E75" s="539"/>
      <c r="F75" s="539"/>
      <c r="G75" s="539"/>
      <c r="H75" s="539"/>
      <c r="I75" s="539"/>
      <c r="J75" s="539"/>
      <c r="K75" s="553" t="s">
        <v>1078</v>
      </c>
    </row>
    <row r="76" spans="1:11" x14ac:dyDescent="0.25">
      <c r="A76" s="725" t="s">
        <v>1044</v>
      </c>
      <c r="B76" s="725"/>
      <c r="C76" s="554"/>
      <c r="D76" s="191">
        <f>COUNTIF(D66:D75,"&lt;&gt;")</f>
        <v>0</v>
      </c>
      <c r="E76" s="191">
        <f t="shared" ref="E76:J76" si="6">COUNTIF(E66:E75,"&lt;&gt;")</f>
        <v>0</v>
      </c>
      <c r="F76" s="191">
        <f t="shared" si="6"/>
        <v>0</v>
      </c>
      <c r="G76" s="191">
        <f t="shared" si="6"/>
        <v>0</v>
      </c>
      <c r="H76" s="191">
        <f t="shared" si="6"/>
        <v>0</v>
      </c>
      <c r="I76" s="191">
        <f t="shared" si="6"/>
        <v>0</v>
      </c>
      <c r="J76" s="191">
        <f t="shared" si="6"/>
        <v>0</v>
      </c>
      <c r="K76" s="554"/>
    </row>
    <row r="77" spans="1:11" x14ac:dyDescent="0.25">
      <c r="A77" s="725" t="s">
        <v>1140</v>
      </c>
      <c r="B77" s="725"/>
      <c r="C77" s="554"/>
      <c r="D77" s="191">
        <f>D76*D65</f>
        <v>0</v>
      </c>
      <c r="E77" s="191">
        <f t="shared" ref="E77:J77" si="7">E76*E65</f>
        <v>0</v>
      </c>
      <c r="F77" s="191">
        <f t="shared" si="7"/>
        <v>0</v>
      </c>
      <c r="G77" s="191">
        <f t="shared" si="7"/>
        <v>0</v>
      </c>
      <c r="H77" s="191">
        <f t="shared" si="7"/>
        <v>0</v>
      </c>
      <c r="I77" s="191">
        <f t="shared" si="7"/>
        <v>0</v>
      </c>
      <c r="J77" s="191">
        <f t="shared" si="7"/>
        <v>0</v>
      </c>
      <c r="K77" s="554"/>
    </row>
    <row r="79" spans="1:11" x14ac:dyDescent="0.25">
      <c r="A79" s="555" t="s">
        <v>1045</v>
      </c>
      <c r="B79" s="555"/>
      <c r="C79" s="555"/>
      <c r="D79" s="555">
        <f>SUM(D77:J77)</f>
        <v>0</v>
      </c>
    </row>
    <row r="80" spans="1:11" x14ac:dyDescent="0.25">
      <c r="A80" s="196" t="s">
        <v>1046</v>
      </c>
      <c r="B80" s="196"/>
      <c r="C80" s="196"/>
      <c r="D80" s="196">
        <f>ROUND(D79/A75,0)</f>
        <v>0</v>
      </c>
    </row>
    <row r="83" spans="1:11" x14ac:dyDescent="0.25">
      <c r="A83" s="550" t="s">
        <v>1143</v>
      </c>
    </row>
    <row r="84" spans="1:11" x14ac:dyDescent="0.25">
      <c r="A84" s="724" t="s">
        <v>990</v>
      </c>
      <c r="B84" s="724"/>
      <c r="C84" s="724" t="s">
        <v>1011</v>
      </c>
      <c r="D84" s="724" t="s">
        <v>1012</v>
      </c>
      <c r="E84" s="724"/>
      <c r="F84" s="724"/>
      <c r="G84" s="724"/>
      <c r="H84" s="724"/>
      <c r="I84" s="724"/>
      <c r="J84" s="724"/>
      <c r="K84" s="724" t="s">
        <v>1013</v>
      </c>
    </row>
    <row r="85" spans="1:11" ht="29.25" customHeight="1" x14ac:dyDescent="0.25">
      <c r="A85" s="724"/>
      <c r="B85" s="724"/>
      <c r="C85" s="724"/>
      <c r="D85" s="556">
        <v>0</v>
      </c>
      <c r="E85" s="556">
        <v>1</v>
      </c>
      <c r="F85" s="556">
        <v>2</v>
      </c>
      <c r="G85" s="556">
        <v>3</v>
      </c>
      <c r="H85" s="556">
        <v>4</v>
      </c>
      <c r="I85" s="556">
        <v>5</v>
      </c>
      <c r="J85" s="556">
        <v>6</v>
      </c>
      <c r="K85" s="724"/>
    </row>
    <row r="86" spans="1:11" ht="76.5" x14ac:dyDescent="0.25">
      <c r="A86" s="552">
        <v>1</v>
      </c>
      <c r="B86" s="553" t="s">
        <v>1096</v>
      </c>
      <c r="C86" s="553" t="s">
        <v>1097</v>
      </c>
      <c r="D86" s="539"/>
      <c r="E86" s="539"/>
      <c r="F86" s="539"/>
      <c r="G86" s="539"/>
      <c r="H86" s="539"/>
      <c r="I86" s="539" t="s">
        <v>594</v>
      </c>
      <c r="J86" s="539"/>
      <c r="K86" s="553" t="s">
        <v>1098</v>
      </c>
    </row>
    <row r="87" spans="1:11" ht="51" x14ac:dyDescent="0.25">
      <c r="A87" s="552">
        <v>2</v>
      </c>
      <c r="B87" s="553" t="s">
        <v>1099</v>
      </c>
      <c r="C87" s="553" t="s">
        <v>1100</v>
      </c>
      <c r="D87" s="539"/>
      <c r="E87" s="539"/>
      <c r="F87" s="539"/>
      <c r="G87" s="539" t="s">
        <v>594</v>
      </c>
      <c r="H87" s="539"/>
      <c r="I87" s="539"/>
      <c r="J87" s="539"/>
      <c r="K87" s="553" t="s">
        <v>1101</v>
      </c>
    </row>
    <row r="88" spans="1:11" ht="51" x14ac:dyDescent="0.25">
      <c r="A88" s="552">
        <v>3</v>
      </c>
      <c r="B88" s="553" t="s">
        <v>1102</v>
      </c>
      <c r="C88" s="553" t="s">
        <v>1103</v>
      </c>
      <c r="D88" s="539"/>
      <c r="E88" s="539"/>
      <c r="F88" s="539"/>
      <c r="G88" s="539" t="s">
        <v>594</v>
      </c>
      <c r="H88" s="539"/>
      <c r="I88" s="539"/>
      <c r="J88" s="539"/>
      <c r="K88" s="553" t="s">
        <v>1104</v>
      </c>
    </row>
    <row r="89" spans="1:11" ht="38.25" x14ac:dyDescent="0.25">
      <c r="A89" s="552">
        <v>4</v>
      </c>
      <c r="B89" s="553" t="s">
        <v>1105</v>
      </c>
      <c r="C89" s="553" t="s">
        <v>1106</v>
      </c>
      <c r="D89" s="539"/>
      <c r="E89" s="539" t="s">
        <v>594</v>
      </c>
      <c r="F89" s="539"/>
      <c r="G89" s="539"/>
      <c r="H89" s="539"/>
      <c r="I89" s="539"/>
      <c r="J89" s="539"/>
      <c r="K89" s="553" t="s">
        <v>1107</v>
      </c>
    </row>
    <row r="90" spans="1:11" ht="63.75" x14ac:dyDescent="0.25">
      <c r="A90" s="552">
        <v>5</v>
      </c>
      <c r="B90" s="553" t="s">
        <v>1108</v>
      </c>
      <c r="C90" s="553" t="s">
        <v>1109</v>
      </c>
      <c r="D90" s="539"/>
      <c r="E90" s="539" t="s">
        <v>594</v>
      </c>
      <c r="F90" s="539"/>
      <c r="G90" s="539"/>
      <c r="H90" s="539"/>
      <c r="I90" s="539"/>
      <c r="J90" s="539"/>
      <c r="K90" s="553" t="s">
        <v>1110</v>
      </c>
    </row>
    <row r="91" spans="1:11" ht="63.75" x14ac:dyDescent="0.25">
      <c r="A91" s="552">
        <v>6</v>
      </c>
      <c r="B91" s="553" t="s">
        <v>1111</v>
      </c>
      <c r="C91" s="553" t="s">
        <v>1112</v>
      </c>
      <c r="D91" s="539"/>
      <c r="E91" s="539"/>
      <c r="F91" s="539" t="s">
        <v>594</v>
      </c>
      <c r="G91" s="539"/>
      <c r="H91" s="539"/>
      <c r="I91" s="539"/>
      <c r="J91" s="539"/>
      <c r="K91" s="553" t="s">
        <v>1113</v>
      </c>
    </row>
    <row r="92" spans="1:11" x14ac:dyDescent="0.25">
      <c r="A92" s="725" t="s">
        <v>1044</v>
      </c>
      <c r="B92" s="725"/>
      <c r="C92" s="559"/>
      <c r="D92" s="191">
        <f>COUNTIF(D86:D91,"&lt;&gt;")</f>
        <v>0</v>
      </c>
      <c r="E92" s="191">
        <f t="shared" ref="E92:J92" si="8">COUNTIF(E86:E91,"&lt;&gt;")</f>
        <v>2</v>
      </c>
      <c r="F92" s="191">
        <f t="shared" si="8"/>
        <v>1</v>
      </c>
      <c r="G92" s="191">
        <f t="shared" si="8"/>
        <v>2</v>
      </c>
      <c r="H92" s="191">
        <f t="shared" si="8"/>
        <v>0</v>
      </c>
      <c r="I92" s="191">
        <f t="shared" si="8"/>
        <v>1</v>
      </c>
      <c r="J92" s="191">
        <f t="shared" si="8"/>
        <v>0</v>
      </c>
      <c r="K92" s="559"/>
    </row>
    <row r="93" spans="1:11" x14ac:dyDescent="0.25">
      <c r="A93" s="725" t="s">
        <v>1140</v>
      </c>
      <c r="B93" s="725"/>
      <c r="C93" s="559"/>
      <c r="D93" s="191">
        <f>D92*D85</f>
        <v>0</v>
      </c>
      <c r="E93" s="191">
        <f t="shared" ref="E93:J93" si="9">E92*E85</f>
        <v>2</v>
      </c>
      <c r="F93" s="191">
        <f t="shared" si="9"/>
        <v>2</v>
      </c>
      <c r="G93" s="191">
        <f t="shared" si="9"/>
        <v>6</v>
      </c>
      <c r="H93" s="191">
        <f t="shared" si="9"/>
        <v>0</v>
      </c>
      <c r="I93" s="191">
        <f t="shared" si="9"/>
        <v>5</v>
      </c>
      <c r="J93" s="191">
        <f t="shared" si="9"/>
        <v>0</v>
      </c>
      <c r="K93" s="559"/>
    </row>
    <row r="95" spans="1:11" x14ac:dyDescent="0.25">
      <c r="A95" s="555" t="s">
        <v>1045</v>
      </c>
      <c r="B95" s="555"/>
      <c r="C95" s="555"/>
      <c r="D95" s="555">
        <f>SUM(D93:J93)</f>
        <v>15</v>
      </c>
    </row>
    <row r="96" spans="1:11" x14ac:dyDescent="0.25">
      <c r="A96" s="196" t="s">
        <v>1046</v>
      </c>
      <c r="B96" s="196"/>
      <c r="C96" s="196"/>
      <c r="D96" s="196">
        <f>ROUND(D95/A91,0)</f>
        <v>3</v>
      </c>
    </row>
    <row r="100" spans="1:13" x14ac:dyDescent="0.25">
      <c r="A100" s="550" t="s">
        <v>1144</v>
      </c>
    </row>
    <row r="101" spans="1:13" x14ac:dyDescent="0.25">
      <c r="A101" s="724" t="s">
        <v>990</v>
      </c>
      <c r="B101" s="724"/>
      <c r="C101" s="724"/>
      <c r="D101" s="724" t="s">
        <v>379</v>
      </c>
      <c r="E101" s="724" t="s">
        <v>991</v>
      </c>
      <c r="F101" s="724"/>
      <c r="G101" s="724"/>
      <c r="H101" s="724"/>
      <c r="I101" s="724"/>
      <c r="J101" s="724"/>
      <c r="K101" s="724"/>
      <c r="L101" s="556" t="s">
        <v>992</v>
      </c>
      <c r="M101" s="556" t="s">
        <v>379</v>
      </c>
    </row>
    <row r="102" spans="1:13" x14ac:dyDescent="0.25">
      <c r="A102" s="724"/>
      <c r="B102" s="724"/>
      <c r="C102" s="724"/>
      <c r="D102" s="724"/>
      <c r="E102" s="560" t="s">
        <v>993</v>
      </c>
      <c r="F102" s="556"/>
      <c r="G102" s="556"/>
      <c r="H102" s="560" t="s">
        <v>994</v>
      </c>
      <c r="I102" s="560"/>
      <c r="J102" s="560"/>
      <c r="K102" s="560" t="s">
        <v>995</v>
      </c>
      <c r="L102" s="556"/>
      <c r="M102" s="556" t="s">
        <v>996</v>
      </c>
    </row>
    <row r="103" spans="1:13" x14ac:dyDescent="0.25">
      <c r="A103" s="724"/>
      <c r="B103" s="724"/>
      <c r="C103" s="724"/>
      <c r="D103" s="724"/>
      <c r="E103" s="556">
        <v>0</v>
      </c>
      <c r="F103" s="556">
        <v>1</v>
      </c>
      <c r="G103" s="556">
        <v>2</v>
      </c>
      <c r="H103" s="556">
        <v>3</v>
      </c>
      <c r="I103" s="556">
        <v>4</v>
      </c>
      <c r="J103" s="556">
        <v>5</v>
      </c>
      <c r="K103" s="556">
        <v>6</v>
      </c>
      <c r="L103" s="556"/>
      <c r="M103" s="556" t="s">
        <v>992</v>
      </c>
    </row>
    <row r="104" spans="1:13" x14ac:dyDescent="0.25">
      <c r="A104" s="727" t="s">
        <v>1114</v>
      </c>
      <c r="B104" s="566">
        <v>1</v>
      </c>
      <c r="C104" s="553" t="s">
        <v>1115</v>
      </c>
      <c r="D104" s="538">
        <v>3</v>
      </c>
      <c r="E104" s="539" t="str">
        <f t="shared" ref="E104:J116" si="10">IF(E$4=$L104,"x","")</f>
        <v/>
      </c>
      <c r="F104" s="539" t="str">
        <f t="shared" si="10"/>
        <v/>
      </c>
      <c r="G104" s="539" t="str">
        <f t="shared" si="10"/>
        <v/>
      </c>
      <c r="H104" s="539" t="str">
        <f t="shared" si="10"/>
        <v/>
      </c>
      <c r="I104" s="539" t="str">
        <f t="shared" si="10"/>
        <v/>
      </c>
      <c r="J104" s="539" t="s">
        <v>1009</v>
      </c>
      <c r="K104" s="539" t="str">
        <f t="shared" ref="K104:K116" si="11">IF(K$4=$L104,"x","")</f>
        <v/>
      </c>
      <c r="L104" s="538">
        <v>5</v>
      </c>
      <c r="M104" s="538">
        <f>D104*L104</f>
        <v>15</v>
      </c>
    </row>
    <row r="105" spans="1:13" ht="25.5" x14ac:dyDescent="0.25">
      <c r="A105" s="727"/>
      <c r="B105" s="566">
        <v>2</v>
      </c>
      <c r="C105" s="553" t="s">
        <v>1116</v>
      </c>
      <c r="D105" s="538">
        <v>2</v>
      </c>
      <c r="E105" s="539" t="str">
        <f t="shared" si="10"/>
        <v/>
      </c>
      <c r="F105" s="539" t="str">
        <f t="shared" si="10"/>
        <v/>
      </c>
      <c r="G105" s="539" t="str">
        <f t="shared" si="10"/>
        <v/>
      </c>
      <c r="H105" s="539" t="str">
        <f t="shared" si="10"/>
        <v/>
      </c>
      <c r="I105" s="539" t="s">
        <v>1009</v>
      </c>
      <c r="J105" s="539" t="str">
        <f t="shared" si="10"/>
        <v/>
      </c>
      <c r="K105" s="539" t="str">
        <f t="shared" si="11"/>
        <v/>
      </c>
      <c r="L105" s="538">
        <v>4</v>
      </c>
      <c r="M105" s="538">
        <f t="shared" ref="M105:M116" si="12">D105*L105</f>
        <v>8</v>
      </c>
    </row>
    <row r="106" spans="1:13" x14ac:dyDescent="0.25">
      <c r="A106" s="727"/>
      <c r="B106" s="566">
        <v>3</v>
      </c>
      <c r="C106" s="553" t="s">
        <v>1117</v>
      </c>
      <c r="D106" s="538">
        <v>3</v>
      </c>
      <c r="E106" s="539" t="str">
        <f t="shared" si="10"/>
        <v/>
      </c>
      <c r="F106" s="539" t="str">
        <f t="shared" si="10"/>
        <v/>
      </c>
      <c r="G106" s="539" t="str">
        <f t="shared" si="10"/>
        <v/>
      </c>
      <c r="H106" s="539" t="s">
        <v>1009</v>
      </c>
      <c r="I106" s="539" t="str">
        <f t="shared" si="10"/>
        <v/>
      </c>
      <c r="J106" s="539" t="str">
        <f t="shared" si="10"/>
        <v/>
      </c>
      <c r="K106" s="539" t="str">
        <f t="shared" si="11"/>
        <v/>
      </c>
      <c r="L106" s="538">
        <v>3</v>
      </c>
      <c r="M106" s="538">
        <f t="shared" si="12"/>
        <v>9</v>
      </c>
    </row>
    <row r="107" spans="1:13" x14ac:dyDescent="0.25">
      <c r="A107" s="727"/>
      <c r="B107" s="566">
        <v>4</v>
      </c>
      <c r="C107" s="553" t="s">
        <v>1118</v>
      </c>
      <c r="D107" s="538">
        <v>2</v>
      </c>
      <c r="E107" s="539" t="str">
        <f t="shared" si="10"/>
        <v/>
      </c>
      <c r="F107" s="539" t="str">
        <f t="shared" si="10"/>
        <v/>
      </c>
      <c r="G107" s="539" t="str">
        <f t="shared" si="10"/>
        <v/>
      </c>
      <c r="H107" s="539" t="str">
        <f t="shared" si="10"/>
        <v/>
      </c>
      <c r="I107" s="539" t="s">
        <v>1009</v>
      </c>
      <c r="J107" s="539" t="str">
        <f t="shared" si="10"/>
        <v/>
      </c>
      <c r="K107" s="539" t="str">
        <f t="shared" si="11"/>
        <v/>
      </c>
      <c r="L107" s="538">
        <v>4</v>
      </c>
      <c r="M107" s="538">
        <f t="shared" si="12"/>
        <v>8</v>
      </c>
    </row>
    <row r="108" spans="1:13" x14ac:dyDescent="0.25">
      <c r="A108" s="727"/>
      <c r="B108" s="566">
        <v>5</v>
      </c>
      <c r="C108" s="553" t="s">
        <v>1119</v>
      </c>
      <c r="D108" s="538">
        <v>1</v>
      </c>
      <c r="E108" s="539" t="str">
        <f t="shared" si="10"/>
        <v/>
      </c>
      <c r="F108" s="539" t="str">
        <f t="shared" si="10"/>
        <v/>
      </c>
      <c r="G108" s="539" t="str">
        <f t="shared" si="10"/>
        <v/>
      </c>
      <c r="H108" s="539" t="s">
        <v>1009</v>
      </c>
      <c r="I108" s="539" t="str">
        <f t="shared" si="10"/>
        <v/>
      </c>
      <c r="J108" s="539" t="str">
        <f t="shared" si="10"/>
        <v/>
      </c>
      <c r="K108" s="539" t="str">
        <f t="shared" si="11"/>
        <v/>
      </c>
      <c r="L108" s="538">
        <v>3</v>
      </c>
      <c r="M108" s="538">
        <f t="shared" si="12"/>
        <v>3</v>
      </c>
    </row>
    <row r="109" spans="1:13" x14ac:dyDescent="0.25">
      <c r="A109" s="727"/>
      <c r="B109" s="566">
        <v>6</v>
      </c>
      <c r="C109" s="553" t="s">
        <v>1120</v>
      </c>
      <c r="D109" s="538">
        <v>1</v>
      </c>
      <c r="E109" s="539" t="str">
        <f t="shared" si="10"/>
        <v/>
      </c>
      <c r="F109" s="539" t="str">
        <f t="shared" si="10"/>
        <v/>
      </c>
      <c r="G109" s="539" t="str">
        <f t="shared" si="10"/>
        <v/>
      </c>
      <c r="H109" s="539" t="str">
        <f t="shared" si="10"/>
        <v/>
      </c>
      <c r="I109" s="539" t="s">
        <v>1009</v>
      </c>
      <c r="J109" s="539" t="str">
        <f t="shared" si="10"/>
        <v/>
      </c>
      <c r="K109" s="539" t="str">
        <f t="shared" si="11"/>
        <v/>
      </c>
      <c r="L109" s="538">
        <v>4</v>
      </c>
      <c r="M109" s="538">
        <f t="shared" si="12"/>
        <v>4</v>
      </c>
    </row>
    <row r="110" spans="1:13" x14ac:dyDescent="0.25">
      <c r="A110" s="727"/>
      <c r="B110" s="566">
        <v>7</v>
      </c>
      <c r="C110" s="553" t="s">
        <v>1121</v>
      </c>
      <c r="D110" s="538">
        <v>1</v>
      </c>
      <c r="E110" s="539" t="str">
        <f t="shared" si="10"/>
        <v/>
      </c>
      <c r="F110" s="539" t="str">
        <f t="shared" si="10"/>
        <v/>
      </c>
      <c r="G110" s="539" t="str">
        <f t="shared" si="10"/>
        <v/>
      </c>
      <c r="H110" s="539" t="str">
        <f t="shared" si="10"/>
        <v/>
      </c>
      <c r="I110" s="539" t="s">
        <v>1009</v>
      </c>
      <c r="J110" s="539" t="str">
        <f t="shared" si="10"/>
        <v/>
      </c>
      <c r="K110" s="539" t="str">
        <f t="shared" si="11"/>
        <v/>
      </c>
      <c r="L110" s="538">
        <v>4</v>
      </c>
      <c r="M110" s="538">
        <f t="shared" si="12"/>
        <v>4</v>
      </c>
    </row>
    <row r="111" spans="1:13" x14ac:dyDescent="0.25">
      <c r="A111" s="727"/>
      <c r="B111" s="566">
        <v>8</v>
      </c>
      <c r="C111" s="553" t="s">
        <v>1122</v>
      </c>
      <c r="D111" s="538">
        <v>1</v>
      </c>
      <c r="E111" s="539" t="str">
        <f t="shared" si="10"/>
        <v/>
      </c>
      <c r="F111" s="539" t="str">
        <f t="shared" si="10"/>
        <v/>
      </c>
      <c r="G111" s="539" t="str">
        <f t="shared" si="10"/>
        <v/>
      </c>
      <c r="H111" s="539" t="str">
        <f t="shared" si="10"/>
        <v/>
      </c>
      <c r="I111" s="539" t="str">
        <f t="shared" si="10"/>
        <v/>
      </c>
      <c r="J111" s="539" t="s">
        <v>1009</v>
      </c>
      <c r="K111" s="539" t="str">
        <f t="shared" si="11"/>
        <v/>
      </c>
      <c r="L111" s="538">
        <v>5</v>
      </c>
      <c r="M111" s="538">
        <f t="shared" si="12"/>
        <v>5</v>
      </c>
    </row>
    <row r="112" spans="1:13" ht="25.5" x14ac:dyDescent="0.25">
      <c r="A112" s="727" t="s">
        <v>1123</v>
      </c>
      <c r="B112" s="566">
        <v>9</v>
      </c>
      <c r="C112" s="553" t="s">
        <v>1124</v>
      </c>
      <c r="D112" s="538">
        <v>3</v>
      </c>
      <c r="E112" s="539" t="str">
        <f t="shared" si="10"/>
        <v/>
      </c>
      <c r="F112" s="539" t="str">
        <f t="shared" si="10"/>
        <v/>
      </c>
      <c r="G112" s="539" t="str">
        <f t="shared" si="10"/>
        <v/>
      </c>
      <c r="H112" s="539" t="str">
        <f t="shared" si="10"/>
        <v/>
      </c>
      <c r="I112" s="539" t="str">
        <f t="shared" si="10"/>
        <v/>
      </c>
      <c r="J112" s="539" t="s">
        <v>1009</v>
      </c>
      <c r="K112" s="539" t="str">
        <f t="shared" si="11"/>
        <v/>
      </c>
      <c r="L112" s="538">
        <v>5</v>
      </c>
      <c r="M112" s="538">
        <f t="shared" si="12"/>
        <v>15</v>
      </c>
    </row>
    <row r="113" spans="1:13" x14ac:dyDescent="0.25">
      <c r="A113" s="727"/>
      <c r="B113" s="566">
        <v>10</v>
      </c>
      <c r="C113" s="553" t="s">
        <v>1125</v>
      </c>
      <c r="D113" s="538">
        <v>1</v>
      </c>
      <c r="E113" s="539" t="str">
        <f t="shared" si="10"/>
        <v/>
      </c>
      <c r="F113" s="539" t="str">
        <f t="shared" si="10"/>
        <v/>
      </c>
      <c r="G113" s="539" t="str">
        <f t="shared" si="10"/>
        <v/>
      </c>
      <c r="H113" s="539" t="str">
        <f t="shared" si="10"/>
        <v/>
      </c>
      <c r="I113" s="539" t="s">
        <v>1009</v>
      </c>
      <c r="J113" s="539" t="str">
        <f t="shared" si="10"/>
        <v/>
      </c>
      <c r="K113" s="539" t="str">
        <f t="shared" si="11"/>
        <v/>
      </c>
      <c r="L113" s="538">
        <v>4</v>
      </c>
      <c r="M113" s="538">
        <f t="shared" si="12"/>
        <v>4</v>
      </c>
    </row>
    <row r="114" spans="1:13" x14ac:dyDescent="0.25">
      <c r="A114" s="727"/>
      <c r="B114" s="566">
        <v>11</v>
      </c>
      <c r="C114" s="553" t="s">
        <v>1126</v>
      </c>
      <c r="D114" s="538">
        <v>1</v>
      </c>
      <c r="E114" s="539"/>
      <c r="F114" s="539" t="str">
        <f t="shared" si="10"/>
        <v/>
      </c>
      <c r="G114" s="539"/>
      <c r="H114" s="539"/>
      <c r="I114" s="539" t="str">
        <f t="shared" si="10"/>
        <v/>
      </c>
      <c r="J114" s="539"/>
      <c r="K114" s="539" t="str">
        <f t="shared" si="11"/>
        <v/>
      </c>
      <c r="L114" s="538">
        <v>0</v>
      </c>
      <c r="M114" s="538">
        <f t="shared" si="12"/>
        <v>0</v>
      </c>
    </row>
    <row r="115" spans="1:13" ht="25.5" x14ac:dyDescent="0.25">
      <c r="A115" s="727"/>
      <c r="B115" s="566">
        <v>12</v>
      </c>
      <c r="C115" s="553" t="s">
        <v>1127</v>
      </c>
      <c r="D115" s="538">
        <v>2</v>
      </c>
      <c r="E115" s="539" t="str">
        <f t="shared" si="10"/>
        <v/>
      </c>
      <c r="F115" s="539" t="str">
        <f t="shared" si="10"/>
        <v/>
      </c>
      <c r="G115" s="539" t="str">
        <f t="shared" si="10"/>
        <v/>
      </c>
      <c r="H115" s="539" t="s">
        <v>1009</v>
      </c>
      <c r="I115" s="539" t="str">
        <f t="shared" si="10"/>
        <v/>
      </c>
      <c r="J115" s="539" t="str">
        <f t="shared" si="10"/>
        <v/>
      </c>
      <c r="K115" s="539" t="str">
        <f t="shared" si="11"/>
        <v/>
      </c>
      <c r="L115" s="538">
        <v>3</v>
      </c>
      <c r="M115" s="538">
        <f t="shared" si="12"/>
        <v>6</v>
      </c>
    </row>
    <row r="116" spans="1:13" x14ac:dyDescent="0.25">
      <c r="A116" s="727"/>
      <c r="B116" s="566">
        <v>13</v>
      </c>
      <c r="C116" s="553" t="s">
        <v>1128</v>
      </c>
      <c r="D116" s="538">
        <v>1</v>
      </c>
      <c r="E116" s="539" t="str">
        <f t="shared" si="10"/>
        <v/>
      </c>
      <c r="F116" s="539" t="str">
        <f t="shared" si="10"/>
        <v/>
      </c>
      <c r="G116" s="539" t="str">
        <f t="shared" si="10"/>
        <v/>
      </c>
      <c r="H116" s="539" t="str">
        <f t="shared" si="10"/>
        <v/>
      </c>
      <c r="I116" s="539" t="s">
        <v>1009</v>
      </c>
      <c r="J116" s="539" t="str">
        <f t="shared" si="10"/>
        <v/>
      </c>
      <c r="K116" s="539" t="str">
        <f t="shared" si="11"/>
        <v/>
      </c>
      <c r="L116" s="538">
        <v>4</v>
      </c>
      <c r="M116" s="538">
        <f t="shared" si="12"/>
        <v>4</v>
      </c>
    </row>
    <row r="117" spans="1:13" x14ac:dyDescent="0.25">
      <c r="A117" s="725" t="s">
        <v>548</v>
      </c>
      <c r="B117" s="725"/>
      <c r="C117" s="725"/>
      <c r="D117" s="561">
        <f>SUM(D104:D116)</f>
        <v>22</v>
      </c>
      <c r="E117" s="562"/>
      <c r="F117" s="562"/>
      <c r="G117" s="562"/>
      <c r="H117" s="562"/>
      <c r="I117" s="562"/>
      <c r="J117" s="562"/>
      <c r="K117" s="562"/>
      <c r="L117" s="561"/>
      <c r="M117" s="561">
        <f>SUM(M104:M116)</f>
        <v>85</v>
      </c>
    </row>
    <row r="119" spans="1:13" x14ac:dyDescent="0.25">
      <c r="A119" s="563" t="s">
        <v>1006</v>
      </c>
      <c r="B119" s="555"/>
      <c r="C119" s="555"/>
      <c r="D119" s="564">
        <f>D117*K103</f>
        <v>132</v>
      </c>
    </row>
    <row r="120" spans="1:13" x14ac:dyDescent="0.25">
      <c r="A120" s="555" t="s">
        <v>1007</v>
      </c>
      <c r="B120" s="555"/>
      <c r="C120" s="555"/>
      <c r="D120" s="564">
        <f>M117</f>
        <v>85</v>
      </c>
    </row>
    <row r="121" spans="1:13" x14ac:dyDescent="0.25">
      <c r="A121" s="196" t="s">
        <v>1008</v>
      </c>
      <c r="B121" s="196"/>
      <c r="C121" s="196"/>
      <c r="D121" s="565">
        <f>D120/D119</f>
        <v>0.64393939393939392</v>
      </c>
    </row>
    <row r="125" spans="1:13" x14ac:dyDescent="0.25">
      <c r="A125" s="550" t="s">
        <v>1145</v>
      </c>
    </row>
    <row r="126" spans="1:13" x14ac:dyDescent="0.25">
      <c r="A126" s="724" t="s">
        <v>990</v>
      </c>
      <c r="B126" s="724"/>
      <c r="C126" s="724"/>
      <c r="D126" s="724" t="s">
        <v>379</v>
      </c>
      <c r="E126" s="724" t="s">
        <v>991</v>
      </c>
      <c r="F126" s="724"/>
      <c r="G126" s="724"/>
      <c r="H126" s="724"/>
      <c r="I126" s="724"/>
      <c r="J126" s="724"/>
      <c r="K126" s="724"/>
      <c r="L126" s="556" t="s">
        <v>992</v>
      </c>
      <c r="M126" s="556" t="s">
        <v>379</v>
      </c>
    </row>
    <row r="127" spans="1:13" x14ac:dyDescent="0.25">
      <c r="A127" s="724"/>
      <c r="B127" s="724"/>
      <c r="C127" s="724"/>
      <c r="D127" s="724"/>
      <c r="E127" s="560" t="s">
        <v>993</v>
      </c>
      <c r="F127" s="556"/>
      <c r="G127" s="556"/>
      <c r="H127" s="560" t="s">
        <v>994</v>
      </c>
      <c r="I127" s="560"/>
      <c r="J127" s="560"/>
      <c r="K127" s="560" t="s">
        <v>995</v>
      </c>
      <c r="L127" s="556"/>
      <c r="M127" s="556" t="s">
        <v>996</v>
      </c>
    </row>
    <row r="128" spans="1:13" x14ac:dyDescent="0.25">
      <c r="A128" s="724"/>
      <c r="B128" s="724"/>
      <c r="C128" s="724"/>
      <c r="D128" s="724"/>
      <c r="E128" s="556">
        <v>0</v>
      </c>
      <c r="F128" s="556">
        <v>1</v>
      </c>
      <c r="G128" s="556">
        <v>2</v>
      </c>
      <c r="H128" s="556">
        <v>3</v>
      </c>
      <c r="I128" s="556">
        <v>4</v>
      </c>
      <c r="J128" s="556">
        <v>5</v>
      </c>
      <c r="K128" s="556">
        <v>6</v>
      </c>
      <c r="L128" s="556"/>
      <c r="M128" s="556" t="s">
        <v>992</v>
      </c>
    </row>
    <row r="129" spans="1:13" x14ac:dyDescent="0.25">
      <c r="A129" s="727" t="s">
        <v>1114</v>
      </c>
      <c r="B129" s="566">
        <v>1</v>
      </c>
      <c r="C129" s="553" t="s">
        <v>1117</v>
      </c>
      <c r="D129" s="538">
        <v>3</v>
      </c>
      <c r="E129" s="539" t="str">
        <f t="shared" ref="E129:K144" si="13">IF(E$4=$L129,"x","")</f>
        <v/>
      </c>
      <c r="F129" s="539" t="str">
        <f t="shared" si="13"/>
        <v/>
      </c>
      <c r="G129" s="539" t="s">
        <v>1009</v>
      </c>
      <c r="H129" s="539" t="str">
        <f t="shared" si="13"/>
        <v/>
      </c>
      <c r="I129" s="539" t="str">
        <f t="shared" si="13"/>
        <v/>
      </c>
      <c r="J129" s="539" t="str">
        <f t="shared" si="13"/>
        <v/>
      </c>
      <c r="K129" s="539" t="str">
        <f t="shared" si="13"/>
        <v/>
      </c>
      <c r="L129" s="538">
        <v>2</v>
      </c>
      <c r="M129" s="538">
        <f t="shared" ref="M129:M144" si="14">D129*L129</f>
        <v>6</v>
      </c>
    </row>
    <row r="130" spans="1:13" x14ac:dyDescent="0.25">
      <c r="A130" s="727"/>
      <c r="B130" s="566">
        <v>2</v>
      </c>
      <c r="C130" s="553" t="s">
        <v>1129</v>
      </c>
      <c r="D130" s="538">
        <v>1</v>
      </c>
      <c r="E130" s="539" t="str">
        <f t="shared" si="13"/>
        <v/>
      </c>
      <c r="F130" s="539" t="str">
        <f t="shared" si="13"/>
        <v/>
      </c>
      <c r="G130" s="539" t="str">
        <f t="shared" si="13"/>
        <v/>
      </c>
      <c r="H130" s="539" t="str">
        <f t="shared" si="13"/>
        <v/>
      </c>
      <c r="I130" s="539" t="s">
        <v>1009</v>
      </c>
      <c r="J130" s="539" t="str">
        <f t="shared" si="13"/>
        <v/>
      </c>
      <c r="K130" s="539" t="str">
        <f t="shared" si="13"/>
        <v/>
      </c>
      <c r="L130" s="538">
        <v>4</v>
      </c>
      <c r="M130" s="538">
        <f t="shared" si="14"/>
        <v>4</v>
      </c>
    </row>
    <row r="131" spans="1:13" ht="25.5" x14ac:dyDescent="0.25">
      <c r="A131" s="727"/>
      <c r="B131" s="566">
        <v>3</v>
      </c>
      <c r="C131" s="553" t="s">
        <v>1130</v>
      </c>
      <c r="D131" s="538">
        <v>1</v>
      </c>
      <c r="E131" s="539" t="str">
        <f t="shared" si="13"/>
        <v/>
      </c>
      <c r="F131" s="539" t="str">
        <f t="shared" si="13"/>
        <v/>
      </c>
      <c r="G131" s="539" t="str">
        <f t="shared" si="13"/>
        <v/>
      </c>
      <c r="H131" s="539" t="s">
        <v>1009</v>
      </c>
      <c r="I131" s="539" t="str">
        <f t="shared" si="13"/>
        <v/>
      </c>
      <c r="J131" s="539" t="str">
        <f t="shared" si="13"/>
        <v/>
      </c>
      <c r="K131" s="539" t="str">
        <f t="shared" si="13"/>
        <v/>
      </c>
      <c r="L131" s="538">
        <v>3</v>
      </c>
      <c r="M131" s="538">
        <f t="shared" si="14"/>
        <v>3</v>
      </c>
    </row>
    <row r="132" spans="1:13" x14ac:dyDescent="0.25">
      <c r="A132" s="727"/>
      <c r="B132" s="566">
        <v>4</v>
      </c>
      <c r="C132" s="553" t="s">
        <v>1131</v>
      </c>
      <c r="D132" s="538">
        <v>2</v>
      </c>
      <c r="E132" s="539" t="str">
        <f t="shared" si="13"/>
        <v/>
      </c>
      <c r="F132" s="539" t="str">
        <f t="shared" si="13"/>
        <v/>
      </c>
      <c r="G132" s="539" t="str">
        <f t="shared" si="13"/>
        <v/>
      </c>
      <c r="H132" s="539" t="str">
        <f t="shared" si="13"/>
        <v/>
      </c>
      <c r="I132" s="539" t="str">
        <f t="shared" si="13"/>
        <v/>
      </c>
      <c r="J132" s="539" t="s">
        <v>1009</v>
      </c>
      <c r="K132" s="539" t="str">
        <f t="shared" si="13"/>
        <v/>
      </c>
      <c r="L132" s="538">
        <v>5</v>
      </c>
      <c r="M132" s="538">
        <f t="shared" si="14"/>
        <v>10</v>
      </c>
    </row>
    <row r="133" spans="1:13" x14ac:dyDescent="0.25">
      <c r="A133" s="727"/>
      <c r="B133" s="566">
        <v>5</v>
      </c>
      <c r="C133" s="553" t="s">
        <v>1132</v>
      </c>
      <c r="D133" s="538">
        <v>1</v>
      </c>
      <c r="E133" s="539" t="str">
        <f t="shared" si="13"/>
        <v/>
      </c>
      <c r="F133" s="539" t="str">
        <f t="shared" si="13"/>
        <v/>
      </c>
      <c r="G133" s="539" t="str">
        <f t="shared" si="13"/>
        <v/>
      </c>
      <c r="H133" s="539" t="str">
        <f t="shared" si="13"/>
        <v/>
      </c>
      <c r="I133" s="539" t="str">
        <f t="shared" si="13"/>
        <v/>
      </c>
      <c r="J133" s="539" t="s">
        <v>1009</v>
      </c>
      <c r="K133" s="539" t="str">
        <f t="shared" si="13"/>
        <v/>
      </c>
      <c r="L133" s="538">
        <v>5</v>
      </c>
      <c r="M133" s="538">
        <f t="shared" si="14"/>
        <v>5</v>
      </c>
    </row>
    <row r="134" spans="1:13" ht="25.5" x14ac:dyDescent="0.25">
      <c r="A134" s="727"/>
      <c r="B134" s="566">
        <v>6</v>
      </c>
      <c r="C134" s="553" t="s">
        <v>1133</v>
      </c>
      <c r="D134" s="538">
        <v>2</v>
      </c>
      <c r="E134" s="539" t="str">
        <f t="shared" si="13"/>
        <v/>
      </c>
      <c r="F134" s="539" t="str">
        <f t="shared" si="13"/>
        <v/>
      </c>
      <c r="G134" s="539" t="str">
        <f t="shared" si="13"/>
        <v/>
      </c>
      <c r="H134" s="539" t="s">
        <v>1009</v>
      </c>
      <c r="I134" s="539" t="str">
        <f t="shared" si="13"/>
        <v/>
      </c>
      <c r="J134" s="539" t="str">
        <f t="shared" si="13"/>
        <v/>
      </c>
      <c r="K134" s="539" t="str">
        <f t="shared" si="13"/>
        <v/>
      </c>
      <c r="L134" s="538">
        <v>3</v>
      </c>
      <c r="M134" s="538">
        <f t="shared" si="14"/>
        <v>6</v>
      </c>
    </row>
    <row r="135" spans="1:13" ht="25.5" x14ac:dyDescent="0.25">
      <c r="A135" s="727"/>
      <c r="B135" s="566">
        <v>7</v>
      </c>
      <c r="C135" s="553" t="s">
        <v>1134</v>
      </c>
      <c r="D135" s="538">
        <v>1</v>
      </c>
      <c r="E135" s="539" t="str">
        <f t="shared" si="13"/>
        <v/>
      </c>
      <c r="F135" s="539" t="str">
        <f t="shared" si="13"/>
        <v/>
      </c>
      <c r="G135" s="539" t="str">
        <f t="shared" si="13"/>
        <v/>
      </c>
      <c r="H135" s="539" t="str">
        <f t="shared" si="13"/>
        <v/>
      </c>
      <c r="I135" s="539" t="s">
        <v>1009</v>
      </c>
      <c r="J135" s="539" t="str">
        <f t="shared" si="13"/>
        <v/>
      </c>
      <c r="K135" s="539" t="str">
        <f t="shared" si="13"/>
        <v/>
      </c>
      <c r="L135" s="538">
        <v>4</v>
      </c>
      <c r="M135" s="538">
        <f t="shared" si="14"/>
        <v>4</v>
      </c>
    </row>
    <row r="136" spans="1:13" ht="25.5" x14ac:dyDescent="0.25">
      <c r="A136" s="727"/>
      <c r="B136" s="566">
        <v>8</v>
      </c>
      <c r="C136" s="553" t="s">
        <v>1135</v>
      </c>
      <c r="D136" s="538">
        <v>1</v>
      </c>
      <c r="E136" s="539" t="str">
        <f t="shared" si="13"/>
        <v/>
      </c>
      <c r="F136" s="539" t="str">
        <f t="shared" si="13"/>
        <v/>
      </c>
      <c r="G136" s="539" t="str">
        <f t="shared" si="13"/>
        <v/>
      </c>
      <c r="H136" s="539" t="str">
        <f t="shared" si="13"/>
        <v/>
      </c>
      <c r="I136" s="539" t="s">
        <v>1009</v>
      </c>
      <c r="J136" s="539" t="str">
        <f t="shared" si="13"/>
        <v/>
      </c>
      <c r="K136" s="539" t="str">
        <f t="shared" si="13"/>
        <v/>
      </c>
      <c r="L136" s="538">
        <v>4</v>
      </c>
      <c r="M136" s="538">
        <f t="shared" si="14"/>
        <v>4</v>
      </c>
    </row>
    <row r="137" spans="1:13" x14ac:dyDescent="0.25">
      <c r="A137" s="727"/>
      <c r="B137" s="566">
        <v>9</v>
      </c>
      <c r="C137" s="553" t="s">
        <v>1136</v>
      </c>
      <c r="D137" s="538">
        <v>1</v>
      </c>
      <c r="E137" s="539" t="str">
        <f t="shared" si="13"/>
        <v/>
      </c>
      <c r="F137" s="539" t="str">
        <f t="shared" si="13"/>
        <v/>
      </c>
      <c r="G137" s="539" t="str">
        <f t="shared" si="13"/>
        <v/>
      </c>
      <c r="H137" s="539" t="str">
        <f t="shared" si="13"/>
        <v/>
      </c>
      <c r="I137" s="539" t="s">
        <v>1009</v>
      </c>
      <c r="J137" s="539" t="str">
        <f t="shared" si="13"/>
        <v/>
      </c>
      <c r="K137" s="539" t="str">
        <f t="shared" si="13"/>
        <v/>
      </c>
      <c r="L137" s="538">
        <v>4</v>
      </c>
      <c r="M137" s="538">
        <f t="shared" si="14"/>
        <v>4</v>
      </c>
    </row>
    <row r="138" spans="1:13" x14ac:dyDescent="0.25">
      <c r="A138" s="727"/>
      <c r="B138" s="566">
        <v>10</v>
      </c>
      <c r="C138" s="553" t="s">
        <v>1137</v>
      </c>
      <c r="D138" s="538">
        <v>2</v>
      </c>
      <c r="E138" s="539" t="str">
        <f t="shared" si="13"/>
        <v/>
      </c>
      <c r="F138" s="539" t="str">
        <f t="shared" si="13"/>
        <v/>
      </c>
      <c r="G138" s="539" t="str">
        <f t="shared" si="13"/>
        <v/>
      </c>
      <c r="H138" s="539" t="str">
        <f t="shared" si="13"/>
        <v/>
      </c>
      <c r="I138" s="539" t="str">
        <f t="shared" si="13"/>
        <v/>
      </c>
      <c r="J138" s="539" t="s">
        <v>1009</v>
      </c>
      <c r="K138" s="539" t="str">
        <f t="shared" si="13"/>
        <v/>
      </c>
      <c r="L138" s="538">
        <v>5</v>
      </c>
      <c r="M138" s="538">
        <f t="shared" si="14"/>
        <v>10</v>
      </c>
    </row>
    <row r="139" spans="1:13" x14ac:dyDescent="0.25">
      <c r="A139" s="727"/>
      <c r="B139" s="566">
        <v>11</v>
      </c>
      <c r="C139" s="553" t="s">
        <v>1121</v>
      </c>
      <c r="D139" s="538">
        <v>1</v>
      </c>
      <c r="E139" s="539" t="str">
        <f t="shared" si="13"/>
        <v/>
      </c>
      <c r="F139" s="539" t="str">
        <f t="shared" si="13"/>
        <v/>
      </c>
      <c r="G139" s="539" t="str">
        <f t="shared" si="13"/>
        <v/>
      </c>
      <c r="H139" s="539" t="str">
        <f t="shared" si="13"/>
        <v/>
      </c>
      <c r="I139" s="539" t="s">
        <v>1009</v>
      </c>
      <c r="J139" s="539" t="str">
        <f t="shared" si="13"/>
        <v/>
      </c>
      <c r="K139" s="539" t="str">
        <f t="shared" si="13"/>
        <v/>
      </c>
      <c r="L139" s="538">
        <v>4</v>
      </c>
      <c r="M139" s="538">
        <f t="shared" si="14"/>
        <v>4</v>
      </c>
    </row>
    <row r="140" spans="1:13" ht="25.5" x14ac:dyDescent="0.25">
      <c r="A140" s="727" t="s">
        <v>1123</v>
      </c>
      <c r="B140" s="566">
        <v>12</v>
      </c>
      <c r="C140" s="553" t="s">
        <v>1124</v>
      </c>
      <c r="D140" s="538">
        <v>3</v>
      </c>
      <c r="E140" s="539"/>
      <c r="F140" s="539"/>
      <c r="G140" s="539"/>
      <c r="H140" s="539"/>
      <c r="I140" s="539" t="str">
        <f t="shared" si="13"/>
        <v/>
      </c>
      <c r="J140" s="539" t="str">
        <f t="shared" si="13"/>
        <v/>
      </c>
      <c r="K140" s="539" t="s">
        <v>1009</v>
      </c>
      <c r="L140" s="538">
        <v>6</v>
      </c>
      <c r="M140" s="538">
        <f t="shared" si="14"/>
        <v>18</v>
      </c>
    </row>
    <row r="141" spans="1:13" x14ac:dyDescent="0.25">
      <c r="A141" s="727"/>
      <c r="B141" s="566">
        <v>13</v>
      </c>
      <c r="C141" s="553" t="s">
        <v>1125</v>
      </c>
      <c r="D141" s="538">
        <v>2</v>
      </c>
      <c r="E141" s="539"/>
      <c r="F141" s="539" t="str">
        <f t="shared" si="13"/>
        <v/>
      </c>
      <c r="G141" s="539"/>
      <c r="H141" s="539"/>
      <c r="I141" s="539" t="str">
        <f t="shared" si="13"/>
        <v/>
      </c>
      <c r="J141" s="539" t="s">
        <v>1009</v>
      </c>
      <c r="K141" s="539" t="str">
        <f t="shared" si="13"/>
        <v/>
      </c>
      <c r="L141" s="538">
        <v>5</v>
      </c>
      <c r="M141" s="538">
        <f t="shared" si="14"/>
        <v>10</v>
      </c>
    </row>
    <row r="142" spans="1:13" ht="25.5" x14ac:dyDescent="0.25">
      <c r="A142" s="727"/>
      <c r="B142" s="566">
        <v>14</v>
      </c>
      <c r="C142" s="553" t="s">
        <v>1138</v>
      </c>
      <c r="D142" s="538">
        <v>1</v>
      </c>
      <c r="E142" s="539" t="str">
        <f t="shared" si="13"/>
        <v/>
      </c>
      <c r="F142" s="539" t="str">
        <f t="shared" si="13"/>
        <v/>
      </c>
      <c r="G142" s="539" t="str">
        <f t="shared" si="13"/>
        <v/>
      </c>
      <c r="H142" s="539" t="str">
        <f t="shared" si="13"/>
        <v/>
      </c>
      <c r="I142" s="539" t="s">
        <v>1009</v>
      </c>
      <c r="J142" s="539" t="str">
        <f t="shared" si="13"/>
        <v/>
      </c>
      <c r="K142" s="539" t="str">
        <f t="shared" si="13"/>
        <v/>
      </c>
      <c r="L142" s="538">
        <v>4</v>
      </c>
      <c r="M142" s="538">
        <f t="shared" si="14"/>
        <v>4</v>
      </c>
    </row>
    <row r="143" spans="1:13" ht="25.5" x14ac:dyDescent="0.25">
      <c r="A143" s="727"/>
      <c r="B143" s="566">
        <v>15</v>
      </c>
      <c r="C143" s="553" t="s">
        <v>1127</v>
      </c>
      <c r="D143" s="538">
        <v>2</v>
      </c>
      <c r="E143" s="539" t="str">
        <f t="shared" si="13"/>
        <v/>
      </c>
      <c r="F143" s="539" t="str">
        <f t="shared" si="13"/>
        <v/>
      </c>
      <c r="G143" s="539" t="str">
        <f t="shared" si="13"/>
        <v/>
      </c>
      <c r="H143" s="539" t="str">
        <f t="shared" si="13"/>
        <v/>
      </c>
      <c r="I143" s="539" t="s">
        <v>1009</v>
      </c>
      <c r="J143" s="539"/>
      <c r="K143" s="539" t="str">
        <f t="shared" si="13"/>
        <v/>
      </c>
      <c r="L143" s="538">
        <v>4</v>
      </c>
      <c r="M143" s="538">
        <f t="shared" si="14"/>
        <v>8</v>
      </c>
    </row>
    <row r="144" spans="1:13" x14ac:dyDescent="0.25">
      <c r="A144" s="727"/>
      <c r="B144" s="566">
        <v>16</v>
      </c>
      <c r="C144" s="553" t="s">
        <v>1128</v>
      </c>
      <c r="D144" s="538">
        <v>1</v>
      </c>
      <c r="E144" s="539" t="str">
        <f t="shared" si="13"/>
        <v/>
      </c>
      <c r="F144" s="539" t="str">
        <f t="shared" si="13"/>
        <v/>
      </c>
      <c r="G144" s="539" t="str">
        <f t="shared" si="13"/>
        <v/>
      </c>
      <c r="H144" s="539" t="str">
        <f t="shared" si="13"/>
        <v/>
      </c>
      <c r="I144" s="539" t="s">
        <v>1009</v>
      </c>
      <c r="J144" s="539" t="str">
        <f t="shared" si="13"/>
        <v/>
      </c>
      <c r="K144" s="539" t="str">
        <f t="shared" si="13"/>
        <v/>
      </c>
      <c r="L144" s="538">
        <v>4</v>
      </c>
      <c r="M144" s="538">
        <f t="shared" si="14"/>
        <v>4</v>
      </c>
    </row>
    <row r="145" spans="1:13" x14ac:dyDescent="0.25">
      <c r="A145" s="725" t="s">
        <v>548</v>
      </c>
      <c r="B145" s="725"/>
      <c r="C145" s="725"/>
      <c r="D145" s="561">
        <f>SUM(D129:D144)</f>
        <v>25</v>
      </c>
      <c r="E145" s="562"/>
      <c r="F145" s="562"/>
      <c r="G145" s="562"/>
      <c r="H145" s="562"/>
      <c r="I145" s="562"/>
      <c r="J145" s="562"/>
      <c r="K145" s="562"/>
      <c r="L145" s="561"/>
      <c r="M145" s="561">
        <f>SUM(M129:M144)</f>
        <v>104</v>
      </c>
    </row>
    <row r="147" spans="1:13" x14ac:dyDescent="0.25">
      <c r="A147" s="563" t="s">
        <v>1006</v>
      </c>
      <c r="B147" s="555"/>
      <c r="C147" s="555"/>
      <c r="D147" s="564">
        <f>D145*K128</f>
        <v>150</v>
      </c>
    </row>
    <row r="148" spans="1:13" x14ac:dyDescent="0.25">
      <c r="A148" s="555" t="s">
        <v>1007</v>
      </c>
      <c r="B148" s="555"/>
      <c r="C148" s="555"/>
      <c r="D148" s="564">
        <f>M145</f>
        <v>104</v>
      </c>
    </row>
    <row r="149" spans="1:13" x14ac:dyDescent="0.25">
      <c r="A149" s="196" t="s">
        <v>1008</v>
      </c>
      <c r="B149" s="196"/>
      <c r="C149" s="196"/>
      <c r="D149" s="565">
        <f>D148/D147</f>
        <v>0.69333333333333336</v>
      </c>
    </row>
  </sheetData>
  <mergeCells count="44">
    <mergeCell ref="A140:A144"/>
    <mergeCell ref="A145:C145"/>
    <mergeCell ref="A112:A116"/>
    <mergeCell ref="A117:C117"/>
    <mergeCell ref="A126:C128"/>
    <mergeCell ref="D126:D128"/>
    <mergeCell ref="E126:K126"/>
    <mergeCell ref="A129:A139"/>
    <mergeCell ref="A92:B92"/>
    <mergeCell ref="A93:B93"/>
    <mergeCell ref="A101:C103"/>
    <mergeCell ref="D101:D103"/>
    <mergeCell ref="E101:K101"/>
    <mergeCell ref="A104:A111"/>
    <mergeCell ref="A66:K66"/>
    <mergeCell ref="A71:K71"/>
    <mergeCell ref="A76:B76"/>
    <mergeCell ref="A77:B77"/>
    <mergeCell ref="A84:B85"/>
    <mergeCell ref="C84:C85"/>
    <mergeCell ref="D84:J84"/>
    <mergeCell ref="K84:K85"/>
    <mergeCell ref="A64:B65"/>
    <mergeCell ref="C64:C65"/>
    <mergeCell ref="D64:J64"/>
    <mergeCell ref="K64:K65"/>
    <mergeCell ref="K24:K25"/>
    <mergeCell ref="A36:B36"/>
    <mergeCell ref="A37:B37"/>
    <mergeCell ref="A44:B45"/>
    <mergeCell ref="C44:C45"/>
    <mergeCell ref="D44:J44"/>
    <mergeCell ref="K44:K45"/>
    <mergeCell ref="A46:K46"/>
    <mergeCell ref="A50:K50"/>
    <mergeCell ref="A53:K53"/>
    <mergeCell ref="A56:B56"/>
    <mergeCell ref="A57:B57"/>
    <mergeCell ref="A3:A5"/>
    <mergeCell ref="B3:B5"/>
    <mergeCell ref="C3:I3"/>
    <mergeCell ref="A24:B25"/>
    <mergeCell ref="C24:C25"/>
    <mergeCell ref="D24:J2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4DCF2-E440-49AE-8F20-8795C564E353}">
  <dimension ref="A2:P78"/>
  <sheetViews>
    <sheetView zoomScale="90" zoomScaleNormal="90" workbookViewId="0">
      <selection activeCell="B57" sqref="B57:C78"/>
    </sheetView>
  </sheetViews>
  <sheetFormatPr defaultRowHeight="15" x14ac:dyDescent="0.25"/>
  <cols>
    <col min="1" max="1" width="2.42578125" customWidth="1"/>
    <col min="3" max="6" width="12.140625" customWidth="1"/>
    <col min="7" max="15" width="11.28515625" customWidth="1"/>
  </cols>
  <sheetData>
    <row r="2" spans="1:16" ht="18.75" x14ac:dyDescent="0.3">
      <c r="A2" s="41"/>
      <c r="B2" s="42" t="s">
        <v>306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4" spans="1:16" x14ac:dyDescent="0.25">
      <c r="B4" s="728" t="s">
        <v>310</v>
      </c>
      <c r="C4" s="728"/>
      <c r="D4" s="728"/>
      <c r="E4" s="728"/>
    </row>
    <row r="5" spans="1:16" ht="30" x14ac:dyDescent="0.25">
      <c r="B5" s="493" t="s">
        <v>307</v>
      </c>
      <c r="C5" s="494" t="s">
        <v>308</v>
      </c>
      <c r="D5" s="494" t="s">
        <v>2</v>
      </c>
      <c r="E5" s="494" t="s">
        <v>309</v>
      </c>
    </row>
    <row r="6" spans="1:16" x14ac:dyDescent="0.25">
      <c r="B6" s="495">
        <f>Rozvaha!C1</f>
        <v>2012</v>
      </c>
      <c r="C6" s="496">
        <f>Rozvaha!C2</f>
        <v>539585.80000000005</v>
      </c>
      <c r="D6" s="496">
        <f>Rozvaha!C4</f>
        <v>372118.4</v>
      </c>
      <c r="E6" s="496">
        <f>Rozvaha!C32</f>
        <v>165317.4</v>
      </c>
    </row>
    <row r="7" spans="1:16" x14ac:dyDescent="0.25">
      <c r="B7" s="495">
        <f>Rozvaha!D1</f>
        <v>2013</v>
      </c>
      <c r="C7" s="496">
        <f>Rozvaha!D2</f>
        <v>647959</v>
      </c>
      <c r="D7" s="496">
        <f>Rozvaha!D4</f>
        <v>438968</v>
      </c>
      <c r="E7" s="496">
        <f>Rozvaha!D32</f>
        <v>205243</v>
      </c>
    </row>
    <row r="8" spans="1:16" x14ac:dyDescent="0.25">
      <c r="B8" s="495">
        <f>Rozvaha!E1</f>
        <v>2014</v>
      </c>
      <c r="C8" s="496">
        <f>Rozvaha!E2</f>
        <v>655325</v>
      </c>
      <c r="D8" s="496">
        <f>Rozvaha!E4</f>
        <v>434654</v>
      </c>
      <c r="E8" s="496">
        <f>Rozvaha!E32</f>
        <v>217469</v>
      </c>
    </row>
    <row r="9" spans="1:16" x14ac:dyDescent="0.25">
      <c r="B9" s="495">
        <f>Rozvaha!F1</f>
        <v>2015</v>
      </c>
      <c r="C9" s="496">
        <f>Rozvaha!F2</f>
        <v>668252</v>
      </c>
      <c r="D9" s="496">
        <f>Rozvaha!F4</f>
        <v>427756</v>
      </c>
      <c r="E9" s="496">
        <f>Rozvaha!F32</f>
        <v>231458</v>
      </c>
    </row>
    <row r="10" spans="1:16" x14ac:dyDescent="0.25">
      <c r="B10" s="495">
        <f>Rozvaha!G1</f>
        <v>2016</v>
      </c>
      <c r="C10" s="496">
        <f>Rozvaha!G2</f>
        <v>730790</v>
      </c>
      <c r="D10" s="496">
        <f>Rozvaha!G4</f>
        <v>460694</v>
      </c>
      <c r="E10" s="496">
        <f>Rozvaha!G32</f>
        <v>256210</v>
      </c>
    </row>
    <row r="11" spans="1:16" x14ac:dyDescent="0.25">
      <c r="B11" s="502"/>
      <c r="C11" s="504"/>
      <c r="D11" s="504"/>
      <c r="E11" s="504"/>
    </row>
    <row r="12" spans="1:16" x14ac:dyDescent="0.25">
      <c r="B12" s="502"/>
      <c r="C12" s="504"/>
      <c r="D12" s="504"/>
      <c r="E12" s="504"/>
    </row>
    <row r="13" spans="1:16" x14ac:dyDescent="0.25">
      <c r="B13" s="502"/>
      <c r="C13" s="504"/>
      <c r="D13" s="504"/>
      <c r="E13" s="504"/>
    </row>
    <row r="14" spans="1:16" x14ac:dyDescent="0.25">
      <c r="B14" s="502"/>
      <c r="C14" s="504"/>
      <c r="D14" s="504"/>
      <c r="E14" s="504"/>
    </row>
    <row r="15" spans="1:16" x14ac:dyDescent="0.25">
      <c r="B15" s="502"/>
      <c r="C15" s="504"/>
      <c r="D15" s="504"/>
      <c r="E15" s="504"/>
    </row>
    <row r="16" spans="1:16" x14ac:dyDescent="0.25">
      <c r="B16" s="502"/>
      <c r="C16" s="504"/>
      <c r="D16" s="504"/>
      <c r="E16" s="504"/>
    </row>
    <row r="19" spans="2:5" x14ac:dyDescent="0.25">
      <c r="B19" s="729" t="s">
        <v>311</v>
      </c>
      <c r="C19" s="729"/>
      <c r="D19" s="729"/>
      <c r="E19" s="729"/>
    </row>
    <row r="20" spans="2:5" ht="30" x14ac:dyDescent="0.25">
      <c r="B20" s="490" t="s">
        <v>307</v>
      </c>
      <c r="C20" s="490" t="s">
        <v>312</v>
      </c>
      <c r="D20" s="490" t="s">
        <v>123</v>
      </c>
      <c r="E20" s="490" t="s">
        <v>313</v>
      </c>
    </row>
    <row r="21" spans="2:5" x14ac:dyDescent="0.25">
      <c r="B21" s="491">
        <f>Rozvaha!C1</f>
        <v>2012</v>
      </c>
      <c r="C21" s="492">
        <f>Rozvaha!C68</f>
        <v>539586</v>
      </c>
      <c r="D21" s="492">
        <f>Rozvaha!C69</f>
        <v>260130</v>
      </c>
      <c r="E21" s="492">
        <f>Rozvaha!C86</f>
        <v>249412</v>
      </c>
    </row>
    <row r="22" spans="2:5" x14ac:dyDescent="0.25">
      <c r="B22" s="491">
        <f>Rozvaha!D1</f>
        <v>2013</v>
      </c>
      <c r="C22" s="492">
        <f>Rozvaha!D68</f>
        <v>647959</v>
      </c>
      <c r="D22" s="492">
        <f>Rozvaha!D69</f>
        <v>279089</v>
      </c>
      <c r="E22" s="492">
        <f>Rozvaha!D86</f>
        <v>333900</v>
      </c>
    </row>
    <row r="23" spans="2:5" x14ac:dyDescent="0.25">
      <c r="B23" s="491">
        <f>Rozvaha!E1</f>
        <v>2014</v>
      </c>
      <c r="C23" s="492">
        <f>Rozvaha!E68</f>
        <v>655325</v>
      </c>
      <c r="D23" s="492">
        <f>Rozvaha!E69</f>
        <v>280087</v>
      </c>
      <c r="E23" s="492">
        <f>Rozvaha!E86</f>
        <v>355658</v>
      </c>
    </row>
    <row r="24" spans="2:5" x14ac:dyDescent="0.25">
      <c r="B24" s="491">
        <f>Rozvaha!F1</f>
        <v>2015</v>
      </c>
      <c r="C24" s="492">
        <f>Rozvaha!F68</f>
        <v>668252</v>
      </c>
      <c r="D24" s="492">
        <f>Rozvaha!F69</f>
        <v>306936</v>
      </c>
      <c r="E24" s="492">
        <f>Rozvaha!F86</f>
        <v>347742</v>
      </c>
    </row>
    <row r="25" spans="2:5" x14ac:dyDescent="0.25">
      <c r="B25" s="491">
        <f>Rozvaha!G1</f>
        <v>2016</v>
      </c>
      <c r="C25" s="492">
        <f>Rozvaha!G68</f>
        <v>730790</v>
      </c>
      <c r="D25" s="492">
        <f>Rozvaha!G69</f>
        <v>342904</v>
      </c>
      <c r="E25" s="492">
        <f>Rozvaha!G86</f>
        <v>375970</v>
      </c>
    </row>
    <row r="26" spans="2:5" x14ac:dyDescent="0.25">
      <c r="B26" s="502"/>
      <c r="C26" s="504"/>
      <c r="D26" s="504"/>
      <c r="E26" s="504"/>
    </row>
    <row r="27" spans="2:5" x14ac:dyDescent="0.25">
      <c r="B27" s="502"/>
      <c r="C27" s="504"/>
      <c r="D27" s="504"/>
      <c r="E27" s="504"/>
    </row>
    <row r="28" spans="2:5" x14ac:dyDescent="0.25">
      <c r="B28" s="502"/>
      <c r="C28" s="504"/>
      <c r="D28" s="504"/>
      <c r="E28" s="504"/>
    </row>
    <row r="29" spans="2:5" x14ac:dyDescent="0.25">
      <c r="B29" s="502"/>
      <c r="C29" s="504"/>
      <c r="D29" s="504"/>
      <c r="E29" s="504"/>
    </row>
    <row r="30" spans="2:5" x14ac:dyDescent="0.25">
      <c r="B30" s="502"/>
      <c r="C30" s="504"/>
      <c r="D30" s="504"/>
      <c r="E30" s="504"/>
    </row>
    <row r="31" spans="2:5" x14ac:dyDescent="0.25">
      <c r="B31" s="502"/>
      <c r="C31" s="504"/>
      <c r="D31" s="504"/>
      <c r="E31" s="504"/>
    </row>
    <row r="36" spans="2:3" ht="47.25" customHeight="1" x14ac:dyDescent="0.25">
      <c r="B36" s="730" t="s">
        <v>315</v>
      </c>
      <c r="C36" s="730"/>
    </row>
    <row r="37" spans="2:3" x14ac:dyDescent="0.25">
      <c r="B37" s="497">
        <f>Rozvaha!C1</f>
        <v>2012</v>
      </c>
      <c r="C37" s="498">
        <f>VZZ!C55</f>
        <v>24703</v>
      </c>
    </row>
    <row r="38" spans="2:3" x14ac:dyDescent="0.25">
      <c r="B38" s="497">
        <f>Rozvaha!D1</f>
        <v>2013</v>
      </c>
      <c r="C38" s="498">
        <f>VZZ!D55</f>
        <v>28960</v>
      </c>
    </row>
    <row r="39" spans="2:3" x14ac:dyDescent="0.25">
      <c r="B39" s="497">
        <f>Rozvaha!E1</f>
        <v>2014</v>
      </c>
      <c r="C39" s="498">
        <f>VZZ!E55</f>
        <v>12998</v>
      </c>
    </row>
    <row r="40" spans="2:3" x14ac:dyDescent="0.25">
      <c r="B40" s="497">
        <f>Rozvaha!F1</f>
        <v>2015</v>
      </c>
      <c r="C40" s="498">
        <f>VZZ!F55</f>
        <v>41849</v>
      </c>
    </row>
    <row r="41" spans="2:3" x14ac:dyDescent="0.25">
      <c r="B41" s="497">
        <f>Rozvaha!G1</f>
        <v>2016</v>
      </c>
      <c r="C41" s="498">
        <f>VZZ!G55</f>
        <v>51968</v>
      </c>
    </row>
    <row r="42" spans="2:3" x14ac:dyDescent="0.25">
      <c r="B42" s="502"/>
      <c r="C42" s="503"/>
    </row>
    <row r="43" spans="2:3" x14ac:dyDescent="0.25">
      <c r="B43" s="502"/>
      <c r="C43" s="503"/>
    </row>
    <row r="44" spans="2:3" x14ac:dyDescent="0.25">
      <c r="B44" s="502"/>
      <c r="C44" s="503"/>
    </row>
    <row r="45" spans="2:3" x14ac:dyDescent="0.25">
      <c r="B45" s="502"/>
      <c r="C45" s="503"/>
    </row>
    <row r="46" spans="2:3" x14ac:dyDescent="0.25">
      <c r="B46" s="502"/>
      <c r="C46" s="503"/>
    </row>
    <row r="47" spans="2:3" x14ac:dyDescent="0.25">
      <c r="B47" s="502"/>
      <c r="C47" s="503"/>
    </row>
    <row r="54" spans="1:16" ht="18.75" x14ac:dyDescent="0.3">
      <c r="A54" s="41"/>
      <c r="B54" s="42" t="s">
        <v>314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</row>
    <row r="56" spans="1:16" x14ac:dyDescent="0.25">
      <c r="B56" s="802" t="s">
        <v>576</v>
      </c>
      <c r="C56" s="802"/>
      <c r="D56" s="803">
        <f>Rozvaha!C1</f>
        <v>2012</v>
      </c>
      <c r="E56" s="803">
        <f>Rozvaha!D1</f>
        <v>2013</v>
      </c>
      <c r="F56" s="803">
        <f>Rozvaha!E1</f>
        <v>2014</v>
      </c>
      <c r="G56" s="803">
        <f>Rozvaha!F1</f>
        <v>2015</v>
      </c>
      <c r="H56" s="803">
        <f>Rozvaha!G1</f>
        <v>2016</v>
      </c>
      <c r="I56" s="500"/>
      <c r="J56" s="500"/>
      <c r="K56" s="500"/>
      <c r="L56" s="500"/>
      <c r="M56" s="500"/>
      <c r="N56" s="500"/>
    </row>
    <row r="57" spans="1:16" x14ac:dyDescent="0.25">
      <c r="B57" s="804" t="s">
        <v>316</v>
      </c>
      <c r="C57" s="804"/>
      <c r="D57" s="499">
        <f>Rozvaha!C2/Rozvaha!C2</f>
        <v>1</v>
      </c>
      <c r="E57" s="499">
        <f>Rozvaha!D2/Rozvaha!D2</f>
        <v>1</v>
      </c>
      <c r="F57" s="499">
        <f>Rozvaha!E2/Rozvaha!E2</f>
        <v>1</v>
      </c>
      <c r="G57" s="499">
        <f>Rozvaha!F2/Rozvaha!F2</f>
        <v>1</v>
      </c>
      <c r="H57" s="499">
        <f>Rozvaha!G2/Rozvaha!G2</f>
        <v>1</v>
      </c>
      <c r="I57" s="501"/>
      <c r="J57" s="501"/>
      <c r="K57" s="501"/>
      <c r="L57" s="501"/>
      <c r="M57" s="501"/>
      <c r="N57" s="501"/>
    </row>
    <row r="58" spans="1:16" x14ac:dyDescent="0.25">
      <c r="B58" s="805" t="s">
        <v>317</v>
      </c>
      <c r="C58" s="805"/>
      <c r="D58" s="499">
        <f>Rozvaha!C4/Rozvaha!C2</f>
        <v>0.68963712536541921</v>
      </c>
      <c r="E58" s="499">
        <f>Rozvaha!D4/Rozvaha!D2</f>
        <v>0.67746261723349777</v>
      </c>
      <c r="F58" s="499">
        <f>Rozvaha!E4/Rozvaha!E2</f>
        <v>0.66326479227864032</v>
      </c>
      <c r="G58" s="499">
        <f>Rozvaha!F4/Rozvaha!F2</f>
        <v>0.64011181410605578</v>
      </c>
      <c r="H58" s="499">
        <f>Rozvaha!G4/Rozvaha!G2</f>
        <v>0.63040545163453254</v>
      </c>
      <c r="I58" s="501"/>
      <c r="J58" s="501"/>
      <c r="K58" s="501"/>
      <c r="L58" s="501"/>
      <c r="M58" s="501"/>
      <c r="N58" s="501"/>
    </row>
    <row r="59" spans="1:16" x14ac:dyDescent="0.25">
      <c r="B59" s="805" t="s">
        <v>318</v>
      </c>
      <c r="C59" s="805"/>
      <c r="D59" s="499">
        <f>Rozvaha!C14/Rozvaha!C2</f>
        <v>0.68607513392680086</v>
      </c>
      <c r="E59" s="499">
        <f>Rozvaha!D14/Rozvaha!D2</f>
        <v>0.67396548238391629</v>
      </c>
      <c r="F59" s="499">
        <f>Rozvaha!E14/Rozvaha!E2</f>
        <v>0.65872353412428952</v>
      </c>
      <c r="G59" s="499">
        <f>Rozvaha!F14/Rozvaha!F2</f>
        <v>0.62342948468541803</v>
      </c>
      <c r="H59" s="499">
        <f>Rozvaha!G14/Rozvaha!G2</f>
        <v>0.61580481396844511</v>
      </c>
      <c r="I59" s="501"/>
      <c r="J59" s="501"/>
      <c r="K59" s="501"/>
      <c r="L59" s="501"/>
      <c r="M59" s="501"/>
      <c r="N59" s="501"/>
    </row>
    <row r="60" spans="1:16" x14ac:dyDescent="0.25">
      <c r="B60" s="805" t="s">
        <v>319</v>
      </c>
      <c r="C60" s="805"/>
      <c r="D60" s="499">
        <f>Rozvaha!C5/Rozvaha!C2</f>
        <v>1.2009211510013791E-3</v>
      </c>
      <c r="E60" s="499">
        <f>Rozvaha!D5/Rozvaha!D2</f>
        <v>1.5309610638944747E-3</v>
      </c>
      <c r="F60" s="499">
        <f>Rozvaha!E5/Rozvaha!E2</f>
        <v>2.5971846030595504E-3</v>
      </c>
      <c r="G60" s="499">
        <f>Rozvaha!F5/Rozvaha!F2</f>
        <v>2.8043313001681999E-3</v>
      </c>
      <c r="H60" s="499">
        <f>Rozvaha!G5/Rozvaha!G2</f>
        <v>2.9611789980705811E-3</v>
      </c>
      <c r="I60" s="501"/>
      <c r="J60" s="501"/>
      <c r="K60" s="501"/>
      <c r="L60" s="501"/>
      <c r="M60" s="501"/>
      <c r="N60" s="501"/>
    </row>
    <row r="61" spans="1:16" x14ac:dyDescent="0.25">
      <c r="B61" s="805" t="s">
        <v>320</v>
      </c>
      <c r="C61" s="805"/>
      <c r="D61" s="499">
        <f>Rozvaha!C24/Rozvaha!C2</f>
        <v>2.3610702876169089E-3</v>
      </c>
      <c r="E61" s="499">
        <f>Rozvaha!D24/Rozvaha!D2</f>
        <v>1.9661737856870574E-3</v>
      </c>
      <c r="F61" s="499">
        <f>Rozvaha!E24/Rozvaha!E2</f>
        <v>1.9440735512913439E-3</v>
      </c>
      <c r="G61" s="499">
        <f>Rozvaha!F24/Rozvaha!F2</f>
        <v>1.3877998120469524E-2</v>
      </c>
      <c r="H61" s="499">
        <f>Rozvaha!G24/Rozvaha!G2</f>
        <v>1.1639458668016803E-2</v>
      </c>
      <c r="I61" s="501"/>
      <c r="J61" s="501"/>
      <c r="K61" s="501"/>
      <c r="L61" s="501"/>
      <c r="M61" s="501"/>
      <c r="N61" s="501"/>
    </row>
    <row r="62" spans="1:16" x14ac:dyDescent="0.25">
      <c r="B62" s="805" t="s">
        <v>59</v>
      </c>
      <c r="C62" s="805"/>
      <c r="D62" s="499">
        <f>Rozvaha!C32/Rozvaha!C2</f>
        <v>0.30637833686505461</v>
      </c>
      <c r="E62" s="499">
        <f>Rozvaha!D32/Rozvaha!D2</f>
        <v>0.31675306616622351</v>
      </c>
      <c r="F62" s="499">
        <f>Rozvaha!E32/Rozvaha!E2</f>
        <v>0.33184908251630868</v>
      </c>
      <c r="G62" s="499">
        <f>Rozvaha!F32/Rozvaha!F2</f>
        <v>0.34636334795855456</v>
      </c>
      <c r="H62" s="499">
        <f>Rozvaha!G32/Rozvaha!G2</f>
        <v>0.35059319366712738</v>
      </c>
      <c r="I62" s="501"/>
      <c r="J62" s="501"/>
      <c r="K62" s="501"/>
      <c r="L62" s="501"/>
      <c r="M62" s="501"/>
      <c r="N62" s="501"/>
    </row>
    <row r="63" spans="1:16" x14ac:dyDescent="0.25">
      <c r="B63" s="805" t="s">
        <v>61</v>
      </c>
      <c r="C63" s="805"/>
      <c r="D63" s="499">
        <f>Rozvaha!C33/Rozvaha!C2</f>
        <v>0.2015368084186055</v>
      </c>
      <c r="E63" s="499">
        <f>Rozvaha!D33/Rozvaha!D2</f>
        <v>0.21242393423040656</v>
      </c>
      <c r="F63" s="499">
        <f>Rozvaha!E33/Rozvaha!E2</f>
        <v>0.2113119444550414</v>
      </c>
      <c r="G63" s="499">
        <f>Rozvaha!F33/Rozvaha!F2</f>
        <v>0.21154893662869695</v>
      </c>
      <c r="H63" s="499">
        <f>Rozvaha!G33/Rozvaha!G2</f>
        <v>0.20015052203779471</v>
      </c>
      <c r="I63" s="501"/>
      <c r="J63" s="501"/>
      <c r="K63" s="501"/>
      <c r="L63" s="501"/>
      <c r="M63" s="501"/>
      <c r="N63" s="501"/>
    </row>
    <row r="64" spans="1:16" x14ac:dyDescent="0.25">
      <c r="B64" s="805" t="s">
        <v>321</v>
      </c>
      <c r="C64" s="805"/>
      <c r="D64" s="499">
        <f>Rozvaha!C40/Rozvaha!C2</f>
        <v>8.1988814383180578E-2</v>
      </c>
      <c r="E64" s="499">
        <f>Rozvaha!D40/Rozvaha!D2</f>
        <v>6.8868554954865976E-2</v>
      </c>
      <c r="F64" s="499">
        <f>Rozvaha!E40/Rozvaha!E2</f>
        <v>7.1201312325945149E-2</v>
      </c>
      <c r="G64" s="499">
        <f>Rozvaha!F40/Rozvaha!F2</f>
        <v>7.0380634850325918E-2</v>
      </c>
      <c r="H64" s="499">
        <f>Rozvaha!G40/Rozvaha!G2</f>
        <v>8.0906963696821252E-2</v>
      </c>
      <c r="I64" s="501"/>
      <c r="J64" s="501"/>
      <c r="K64" s="501"/>
      <c r="L64" s="501"/>
      <c r="M64" s="501"/>
      <c r="N64" s="501"/>
    </row>
    <row r="65" spans="2:14" x14ac:dyDescent="0.25">
      <c r="B65" s="805" t="s">
        <v>322</v>
      </c>
      <c r="C65" s="805"/>
      <c r="D65" s="499">
        <f>Rozvaha!C48/Rozvaha!C2</f>
        <v>0</v>
      </c>
      <c r="E65" s="499">
        <f>Rozvaha!D48/Rozvaha!D2</f>
        <v>0</v>
      </c>
      <c r="F65" s="499">
        <f>Rozvaha!E48/Rozvaha!E2</f>
        <v>0</v>
      </c>
      <c r="G65" s="499">
        <f>Rozvaha!F48/Rozvaha!F2</f>
        <v>0</v>
      </c>
      <c r="H65" s="499">
        <f>Rozvaha!G48/Rozvaha!G2</f>
        <v>0</v>
      </c>
      <c r="I65" s="501"/>
      <c r="J65" s="501"/>
      <c r="K65" s="501"/>
      <c r="L65" s="501"/>
      <c r="M65" s="501"/>
      <c r="N65" s="501"/>
    </row>
    <row r="66" spans="2:14" x14ac:dyDescent="0.25">
      <c r="B66" s="805" t="s">
        <v>323</v>
      </c>
      <c r="C66" s="805"/>
      <c r="D66" s="499">
        <f>Rozvaha!C58/Rozvaha!C2</f>
        <v>2.2852714063268529E-2</v>
      </c>
      <c r="E66" s="499">
        <f>Rozvaha!D58/Rozvaha!D2</f>
        <v>3.5460576980950953E-2</v>
      </c>
      <c r="F66" s="499">
        <f>Rozvaha!E58/Rozvaha!E2</f>
        <v>4.9335825735322171E-2</v>
      </c>
      <c r="G66" s="499">
        <f>Rozvaha!F58/Rozvaha!F2</f>
        <v>6.4433776479531676E-2</v>
      </c>
      <c r="H66" s="499">
        <f>Rozvaha!G58/Rozvaha!G2</f>
        <v>6.953570793251139E-2</v>
      </c>
      <c r="I66" s="501"/>
      <c r="J66" s="501"/>
      <c r="K66" s="501"/>
      <c r="L66" s="501"/>
      <c r="M66" s="501"/>
      <c r="N66" s="501"/>
    </row>
    <row r="67" spans="2:14" x14ac:dyDescent="0.25">
      <c r="B67" s="805" t="s">
        <v>324</v>
      </c>
      <c r="C67" s="805"/>
      <c r="D67" s="499">
        <f>Rozvaha!C63/Rozvaha!C2</f>
        <v>3.9845377695261804E-3</v>
      </c>
      <c r="E67" s="499">
        <f>Rozvaha!D63/Rozvaha!D2</f>
        <v>5.7843166002787211E-3</v>
      </c>
      <c r="F67" s="499">
        <f>Rozvaha!E63/Rozvaha!E2</f>
        <v>4.8861252050509292E-3</v>
      </c>
      <c r="G67" s="499">
        <f>Rozvaha!F63/Rozvaha!F2</f>
        <v>1.3524837935389644E-2</v>
      </c>
      <c r="H67" s="499">
        <f>Rozvaha!G63/Rozvaha!G2</f>
        <v>1.9001354698340151E-2</v>
      </c>
      <c r="I67" s="501"/>
      <c r="J67" s="501"/>
      <c r="K67" s="501"/>
      <c r="L67" s="501"/>
      <c r="M67" s="501"/>
      <c r="N67" s="501"/>
    </row>
    <row r="68" spans="2:14" x14ac:dyDescent="0.25">
      <c r="B68" s="804" t="s">
        <v>325</v>
      </c>
      <c r="C68" s="804"/>
      <c r="D68" s="499">
        <f>Rozvaha!C68/Rozvaha!C68</f>
        <v>1</v>
      </c>
      <c r="E68" s="499">
        <f>Rozvaha!D68/Rozvaha!D68</f>
        <v>1</v>
      </c>
      <c r="F68" s="499">
        <f>Rozvaha!E68/Rozvaha!E68</f>
        <v>1</v>
      </c>
      <c r="G68" s="499">
        <f>Rozvaha!F68/Rozvaha!F68</f>
        <v>1</v>
      </c>
      <c r="H68" s="499">
        <f>Rozvaha!G68/Rozvaha!G68</f>
        <v>1</v>
      </c>
      <c r="I68" s="501"/>
      <c r="J68" s="501"/>
      <c r="K68" s="501"/>
      <c r="L68" s="501"/>
      <c r="M68" s="501"/>
      <c r="N68" s="501"/>
    </row>
    <row r="69" spans="2:14" x14ac:dyDescent="0.25">
      <c r="B69" s="805" t="s">
        <v>123</v>
      </c>
      <c r="C69" s="805"/>
      <c r="D69" s="499">
        <f>Rozvaha!C69/Rozvaha!C68</f>
        <v>0.48209182595545474</v>
      </c>
      <c r="E69" s="499">
        <f>Rozvaha!D69/Rozvaha!D68</f>
        <v>0.43072015358996479</v>
      </c>
      <c r="F69" s="499">
        <f>Rozvaha!E69/Rozvaha!E68</f>
        <v>0.42740167092663944</v>
      </c>
      <c r="G69" s="499">
        <f>Rozvaha!F69/Rozvaha!F68</f>
        <v>0.45931175664270363</v>
      </c>
      <c r="H69" s="499">
        <f>Rozvaha!G69/Rozvaha!G68</f>
        <v>0.46922371679962782</v>
      </c>
      <c r="I69" s="501"/>
      <c r="J69" s="501"/>
      <c r="K69" s="501"/>
      <c r="L69" s="501"/>
      <c r="M69" s="501"/>
      <c r="N69" s="501"/>
    </row>
    <row r="70" spans="2:14" x14ac:dyDescent="0.25">
      <c r="B70" s="805" t="s">
        <v>125</v>
      </c>
      <c r="C70" s="805"/>
      <c r="D70" s="499">
        <f>Rozvaha!C70/Rozvaha!C68</f>
        <v>0.27799090413761662</v>
      </c>
      <c r="E70" s="499">
        <f>Rozvaha!D70/Rozvaha!D68</f>
        <v>0.23149612861307584</v>
      </c>
      <c r="F70" s="499">
        <f>Rozvaha!E70/Rozvaha!E68</f>
        <v>0.22889406019913783</v>
      </c>
      <c r="G70" s="499">
        <f>Rozvaha!F70/Rozvaha!F68</f>
        <v>0.22446621933043223</v>
      </c>
      <c r="H70" s="499">
        <f>Rozvaha!G70/Rozvaha!G68</f>
        <v>0.20525732426552087</v>
      </c>
      <c r="I70" s="501"/>
      <c r="J70" s="501"/>
      <c r="K70" s="501"/>
      <c r="L70" s="501"/>
      <c r="M70" s="501"/>
      <c r="N70" s="501"/>
    </row>
    <row r="71" spans="2:14" x14ac:dyDescent="0.25">
      <c r="B71" s="805" t="s">
        <v>326</v>
      </c>
      <c r="C71" s="805"/>
      <c r="D71" s="499">
        <f>Rozvaha!C79/Rozvaha!C68</f>
        <v>5.5598180827523325E-2</v>
      </c>
      <c r="E71" s="499">
        <f>Rozvaha!D79/Rozvaha!D68</f>
        <v>4.6299225722615168E-2</v>
      </c>
      <c r="F71" s="499">
        <f>Rozvaha!E79/Rozvaha!E68</f>
        <v>4.5778812039827567E-2</v>
      </c>
      <c r="G71" s="499">
        <f>Rozvaha!F79/Rozvaha!F68</f>
        <v>4.4893243866086445E-2</v>
      </c>
      <c r="H71" s="499">
        <f>Rozvaha!G79/Rozvaha!G68</f>
        <v>4.1051464853104173E-2</v>
      </c>
      <c r="I71" s="501"/>
      <c r="J71" s="501"/>
      <c r="K71" s="501"/>
      <c r="L71" s="501"/>
      <c r="M71" s="501"/>
      <c r="N71" s="501"/>
    </row>
    <row r="72" spans="2:14" x14ac:dyDescent="0.25">
      <c r="B72" s="805" t="s">
        <v>327</v>
      </c>
      <c r="C72" s="805"/>
      <c r="D72" s="499">
        <f>Rozvaha!C82/Rozvaha!C68</f>
        <v>8.1204849643986318E-2</v>
      </c>
      <c r="E72" s="499">
        <f>Rozvaha!D82/Rozvaha!D68</f>
        <v>9.0312813002057235E-2</v>
      </c>
      <c r="F72" s="499">
        <f>Rozvaha!E82/Rozvaha!E68</f>
        <v>0.11517796513180482</v>
      </c>
      <c r="G72" s="499">
        <f>Rozvaha!F82/Rozvaha!F68</f>
        <v>0.10995402931828113</v>
      </c>
      <c r="H72" s="499">
        <f>Rozvaha!G82/Rozvaha!G68</f>
        <v>0.13591592659998084</v>
      </c>
      <c r="I72" s="501"/>
      <c r="J72" s="501"/>
      <c r="K72" s="501"/>
      <c r="L72" s="501"/>
      <c r="M72" s="501"/>
      <c r="N72" s="501"/>
    </row>
    <row r="73" spans="2:14" x14ac:dyDescent="0.25">
      <c r="B73" s="805" t="s">
        <v>328</v>
      </c>
      <c r="C73" s="805"/>
      <c r="D73" s="499">
        <f>Rozvaha!C85/Rozvaha!C68</f>
        <v>4.5781395366076956E-2</v>
      </c>
      <c r="E73" s="499">
        <f>Rozvaha!D85/Rozvaha!D68</f>
        <v>4.4694185897564506E-2</v>
      </c>
      <c r="F73" s="499">
        <f>Rozvaha!E85/Rozvaha!E68</f>
        <v>1.9834433296455956E-2</v>
      </c>
      <c r="G73" s="499">
        <f>Rozvaha!F85/Rozvaha!F68</f>
        <v>6.2624578751728388E-2</v>
      </c>
      <c r="H73" s="499">
        <f>Rozvaha!G85/Rozvaha!G68</f>
        <v>7.1112084182870586E-2</v>
      </c>
      <c r="I73" s="501"/>
      <c r="J73" s="501"/>
      <c r="K73" s="501"/>
      <c r="L73" s="501"/>
      <c r="M73" s="501"/>
      <c r="N73" s="501"/>
    </row>
    <row r="74" spans="2:14" x14ac:dyDescent="0.25">
      <c r="B74" s="805" t="s">
        <v>155</v>
      </c>
      <c r="C74" s="805"/>
      <c r="D74" s="499">
        <f>Rozvaha!C86/Rozvaha!C68</f>
        <v>0.46222844921847489</v>
      </c>
      <c r="E74" s="499">
        <f>Rozvaha!D86/Rozvaha!D68</f>
        <v>0.51531038229270676</v>
      </c>
      <c r="F74" s="499">
        <f>Rozvaha!E86/Rozvaha!E68</f>
        <v>0.54272002441536638</v>
      </c>
      <c r="G74" s="499">
        <f>Rozvaha!F86/Rozvaha!F68</f>
        <v>0.5203755469493544</v>
      </c>
      <c r="H74" s="499">
        <f>Rozvaha!G86/Rozvaha!G68</f>
        <v>0.51447064136071918</v>
      </c>
      <c r="I74" s="501"/>
      <c r="J74" s="501"/>
      <c r="K74" s="501"/>
      <c r="L74" s="501"/>
      <c r="M74" s="501"/>
      <c r="N74" s="501"/>
    </row>
    <row r="75" spans="2:14" x14ac:dyDescent="0.25">
      <c r="B75" s="805" t="s">
        <v>329</v>
      </c>
      <c r="C75" s="805"/>
      <c r="D75" s="499">
        <f>Rozvaha!C92/Rozvaha!C68</f>
        <v>2.6942878429017804E-2</v>
      </c>
      <c r="E75" s="499">
        <f>Rozvaha!D92/Rozvaha!D68</f>
        <v>6.0908174745624336E-2</v>
      </c>
      <c r="F75" s="499">
        <f>Rozvaha!E92/Rozvaha!E68</f>
        <v>5.4769770724449704E-2</v>
      </c>
      <c r="G75" s="499">
        <f>Rozvaha!F92/Rozvaha!F68</f>
        <v>3.1021231511465734E-2</v>
      </c>
      <c r="H75" s="499">
        <f>Rozvaha!G92/Rozvaha!G68</f>
        <v>1.7474240205804677E-2</v>
      </c>
      <c r="I75" s="501"/>
      <c r="J75" s="501"/>
      <c r="K75" s="501"/>
      <c r="L75" s="501"/>
      <c r="M75" s="501"/>
      <c r="N75" s="501"/>
    </row>
    <row r="76" spans="2:14" x14ac:dyDescent="0.25">
      <c r="B76" s="805" t="s">
        <v>156</v>
      </c>
      <c r="C76" s="805"/>
      <c r="D76" s="499">
        <f>Rozvaha!C87/Rozvaha!C68</f>
        <v>0</v>
      </c>
      <c r="E76" s="499">
        <f>Rozvaha!D87/Rozvaha!D68</f>
        <v>5.8800016667721264E-3</v>
      </c>
      <c r="F76" s="499">
        <f>Rozvaha!E87/Rozvaha!E68</f>
        <v>1.436539121809789E-2</v>
      </c>
      <c r="G76" s="499">
        <f>Rozvaha!F87/Rozvaha!F68</f>
        <v>5.9498512537186571E-3</v>
      </c>
      <c r="H76" s="499">
        <f>Rozvaha!G87/Rozvaha!G68</f>
        <v>6.937697560174606E-3</v>
      </c>
      <c r="I76" s="501"/>
      <c r="J76" s="501"/>
      <c r="K76" s="501"/>
      <c r="L76" s="501"/>
      <c r="M76" s="501"/>
      <c r="N76" s="501"/>
    </row>
    <row r="77" spans="2:14" x14ac:dyDescent="0.25">
      <c r="B77" s="805" t="s">
        <v>330</v>
      </c>
      <c r="C77" s="805"/>
      <c r="D77" s="499">
        <f>Rozvaha!C103/Rozvaha!C68</f>
        <v>0.21967582554032167</v>
      </c>
      <c r="E77" s="499">
        <f>Rozvaha!D103/Rozvaha!D68</f>
        <v>0.25908120729860995</v>
      </c>
      <c r="F77" s="499">
        <f>Rozvaha!E103/Rozvaha!E68</f>
        <v>0.27409300728646091</v>
      </c>
      <c r="G77" s="499">
        <f>Rozvaha!F103/Rozvaha!F68</f>
        <v>0.28897781076599843</v>
      </c>
      <c r="H77" s="499">
        <f>Rozvaha!G103/Rozvaha!G68</f>
        <v>0.27470819250400252</v>
      </c>
      <c r="I77" s="501"/>
      <c r="J77" s="501"/>
      <c r="K77" s="501"/>
      <c r="L77" s="501"/>
      <c r="M77" s="501"/>
      <c r="N77" s="501"/>
    </row>
    <row r="78" spans="2:14" x14ac:dyDescent="0.25">
      <c r="B78" s="805" t="s">
        <v>331</v>
      </c>
      <c r="C78" s="805"/>
      <c r="D78" s="499">
        <f>Rozvaha!C119/Rozvaha!C68</f>
        <v>5.5679724826070358E-2</v>
      </c>
      <c r="E78" s="499">
        <f>Rozvaha!D119/Rozvaha!D68</f>
        <v>5.3969464117328413E-2</v>
      </c>
      <c r="F78" s="499">
        <f>Rozvaha!E119/Rozvaha!E68</f>
        <v>2.9878304657994126E-2</v>
      </c>
      <c r="G78" s="499">
        <f>Rozvaha!F119/Rozvaha!F68</f>
        <v>2.0312696407941915E-2</v>
      </c>
      <c r="H78" s="499">
        <f>Rozvaha!G119/Rozvaha!G68</f>
        <v>1.6305641839652978E-2</v>
      </c>
      <c r="I78" s="501"/>
      <c r="J78" s="501"/>
      <c r="K78" s="501"/>
      <c r="L78" s="501"/>
      <c r="M78" s="501"/>
      <c r="N78" s="501"/>
    </row>
  </sheetData>
  <mergeCells count="26">
    <mergeCell ref="B78:C78"/>
    <mergeCell ref="B56:C56"/>
    <mergeCell ref="B72:C72"/>
    <mergeCell ref="B73:C73"/>
    <mergeCell ref="B74:C74"/>
    <mergeCell ref="B75:C75"/>
    <mergeCell ref="B76:C76"/>
    <mergeCell ref="B77:C77"/>
    <mergeCell ref="B66:C66"/>
    <mergeCell ref="B67:C67"/>
    <mergeCell ref="B68:C68"/>
    <mergeCell ref="B69:C69"/>
    <mergeCell ref="B70:C70"/>
    <mergeCell ref="B71:C71"/>
    <mergeCell ref="B57:C57"/>
    <mergeCell ref="B58:C58"/>
    <mergeCell ref="B64:C64"/>
    <mergeCell ref="B65:C65"/>
    <mergeCell ref="B4:E4"/>
    <mergeCell ref="B19:E19"/>
    <mergeCell ref="B36:C36"/>
    <mergeCell ref="B59:C59"/>
    <mergeCell ref="B60:C60"/>
    <mergeCell ref="B61:C61"/>
    <mergeCell ref="B62:C62"/>
    <mergeCell ref="B63:C6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DD2F-E0E7-48E7-90E8-A42805BAA9E8}">
  <dimension ref="A2:P114"/>
  <sheetViews>
    <sheetView topLeftCell="A98" zoomScale="90" zoomScaleNormal="90" workbookViewId="0">
      <selection activeCell="I113" sqref="I113"/>
    </sheetView>
  </sheetViews>
  <sheetFormatPr defaultRowHeight="15" x14ac:dyDescent="0.25"/>
  <cols>
    <col min="1" max="1" width="10.7109375" customWidth="1"/>
    <col min="2" max="2" width="13.42578125" customWidth="1"/>
    <col min="3" max="10" width="12.85546875" customWidth="1"/>
    <col min="11" max="13" width="12.85546875" style="83" customWidth="1"/>
    <col min="14" max="14" width="11.42578125" style="83" customWidth="1"/>
    <col min="15" max="16" width="9.140625" style="83"/>
  </cols>
  <sheetData>
    <row r="2" spans="1:16" ht="15.75" x14ac:dyDescent="0.25">
      <c r="A2" s="45" t="s">
        <v>340</v>
      </c>
      <c r="B2" s="45"/>
      <c r="C2" s="45"/>
      <c r="D2" s="45"/>
      <c r="E2" s="45"/>
      <c r="F2" s="45"/>
      <c r="G2" s="45"/>
      <c r="H2" s="45"/>
      <c r="I2" s="45"/>
      <c r="J2" s="45"/>
      <c r="K2" s="46"/>
      <c r="L2" s="46"/>
      <c r="M2" s="46"/>
      <c r="N2" s="46"/>
      <c r="O2" s="46"/>
      <c r="P2" s="46"/>
    </row>
    <row r="4" spans="1:16" x14ac:dyDescent="0.25">
      <c r="B4" s="44" t="s">
        <v>332</v>
      </c>
      <c r="C4" s="734" t="s">
        <v>337</v>
      </c>
      <c r="D4" s="734"/>
      <c r="E4" s="734"/>
      <c r="F4" s="734"/>
      <c r="G4" s="734"/>
      <c r="H4" s="734"/>
      <c r="I4" s="93"/>
    </row>
    <row r="5" spans="1:16" x14ac:dyDescent="0.25">
      <c r="B5" s="44" t="s">
        <v>333</v>
      </c>
      <c r="C5" s="93" t="s">
        <v>338</v>
      </c>
      <c r="D5" s="93"/>
      <c r="E5" s="97" t="s">
        <v>474</v>
      </c>
      <c r="F5" s="97"/>
      <c r="G5" s="97"/>
      <c r="H5" s="97"/>
      <c r="I5" s="97"/>
      <c r="J5" s="94"/>
      <c r="K5" s="94"/>
      <c r="L5" s="94"/>
      <c r="M5" s="94"/>
      <c r="N5" s="94"/>
    </row>
    <row r="6" spans="1:16" x14ac:dyDescent="0.25">
      <c r="B6" s="44" t="s">
        <v>334</v>
      </c>
      <c r="C6" s="93" t="s">
        <v>983</v>
      </c>
      <c r="D6" s="93"/>
      <c r="E6" s="93"/>
      <c r="F6" s="93"/>
      <c r="G6" s="97" t="s">
        <v>475</v>
      </c>
      <c r="H6" s="97"/>
      <c r="I6" s="97"/>
      <c r="J6" s="94"/>
      <c r="K6" s="94"/>
      <c r="L6" s="94"/>
      <c r="M6" s="94"/>
      <c r="N6" s="94"/>
    </row>
    <row r="7" spans="1:16" x14ac:dyDescent="0.25">
      <c r="B7" s="44" t="s">
        <v>335</v>
      </c>
      <c r="C7" s="734" t="s">
        <v>339</v>
      </c>
      <c r="D7" s="734"/>
      <c r="E7" s="734"/>
      <c r="F7" s="734"/>
      <c r="G7" s="734"/>
      <c r="H7" s="734"/>
      <c r="I7" s="93"/>
      <c r="J7" s="83"/>
    </row>
    <row r="8" spans="1:16" x14ac:dyDescent="0.25">
      <c r="B8" s="44" t="s">
        <v>336</v>
      </c>
      <c r="C8" s="93" t="s">
        <v>984</v>
      </c>
      <c r="D8" s="93"/>
      <c r="E8" s="93"/>
      <c r="F8" s="97" t="s">
        <v>473</v>
      </c>
      <c r="G8" s="97"/>
      <c r="H8" s="97"/>
      <c r="I8" s="97"/>
      <c r="J8" s="94"/>
      <c r="K8" s="94"/>
      <c r="L8" s="94"/>
      <c r="M8" s="94"/>
      <c r="N8" s="94"/>
    </row>
    <row r="10" spans="1:16" x14ac:dyDescent="0.25">
      <c r="B10" s="471"/>
      <c r="C10" s="533">
        <f>Rozvaha!C1</f>
        <v>2012</v>
      </c>
      <c r="D10" s="533">
        <f>Rozvaha!D1</f>
        <v>2013</v>
      </c>
      <c r="E10" s="533">
        <f>Rozvaha!E1</f>
        <v>2014</v>
      </c>
      <c r="F10" s="533">
        <f>Rozvaha!F1</f>
        <v>2015</v>
      </c>
      <c r="G10" s="533">
        <f>Rozvaha!G1</f>
        <v>2016</v>
      </c>
      <c r="H10" s="510"/>
      <c r="I10" s="510"/>
      <c r="J10" s="510"/>
      <c r="K10" s="510"/>
      <c r="L10" s="510"/>
      <c r="M10" s="510"/>
    </row>
    <row r="11" spans="1:16" x14ac:dyDescent="0.25">
      <c r="B11" s="533" t="s">
        <v>332</v>
      </c>
      <c r="C11" s="43">
        <f>VZZ!C64+VZZ!C46</f>
        <v>53565</v>
      </c>
      <c r="D11" s="43">
        <f>VZZ!D64+VZZ!D46</f>
        <v>59315</v>
      </c>
      <c r="E11" s="43">
        <f>VZZ!E64+VZZ!E46</f>
        <v>37515</v>
      </c>
      <c r="F11" s="43">
        <f>VZZ!F64+VZZ!F46</f>
        <v>67323</v>
      </c>
      <c r="G11" s="43">
        <f>VZZ!G64+VZZ!G46</f>
        <v>74694</v>
      </c>
      <c r="H11" s="503"/>
      <c r="I11" s="503"/>
      <c r="J11" s="503"/>
      <c r="K11" s="503"/>
      <c r="L11" s="503"/>
      <c r="M11" s="503"/>
    </row>
    <row r="12" spans="1:16" x14ac:dyDescent="0.25">
      <c r="B12" s="533" t="s">
        <v>333</v>
      </c>
      <c r="C12" s="96">
        <f>C11/Rozvaha!C2</f>
        <v>9.9270588662637146E-2</v>
      </c>
      <c r="D12" s="96">
        <f>D11/Rozvaha!D2</f>
        <v>9.1541285791230623E-2</v>
      </c>
      <c r="E12" s="96">
        <f>E11/Rozvaha!E2</f>
        <v>5.7246404455804374E-2</v>
      </c>
      <c r="F12" s="96">
        <f>F11/Rozvaha!F2</f>
        <v>0.10074492855988459</v>
      </c>
      <c r="G12" s="96">
        <f>G11/Rozvaha!G2</f>
        <v>0.10220993719125877</v>
      </c>
      <c r="H12" s="508"/>
      <c r="I12" s="508"/>
      <c r="J12" s="508"/>
      <c r="K12" s="508"/>
      <c r="L12" s="508"/>
      <c r="M12" s="508"/>
    </row>
    <row r="13" spans="1:16" x14ac:dyDescent="0.25">
      <c r="B13" s="533" t="s">
        <v>334</v>
      </c>
      <c r="C13" s="96">
        <f>VZZ!C63/Rozvaha!C69</f>
        <v>9.49640564333218E-2</v>
      </c>
      <c r="D13" s="96">
        <f>VZZ!D63/Rozvaha!D69</f>
        <v>0.10376618211394931</v>
      </c>
      <c r="E13" s="96">
        <f>VZZ!E63/Rozvaha!E69</f>
        <v>4.6407009250697108E-2</v>
      </c>
      <c r="F13" s="96">
        <f>VZZ!F63/Rozvaha!F69</f>
        <v>0.13634438449709385</v>
      </c>
      <c r="G13" s="96">
        <f>VZZ!G63/Rozvaha!G69</f>
        <v>0.15155262114177728</v>
      </c>
      <c r="H13" s="509"/>
      <c r="I13" s="509"/>
      <c r="J13" s="509"/>
      <c r="K13" s="509"/>
      <c r="L13" s="509"/>
      <c r="M13" s="509"/>
    </row>
    <row r="14" spans="1:16" x14ac:dyDescent="0.25">
      <c r="B14" s="533" t="s">
        <v>335</v>
      </c>
      <c r="C14" s="96">
        <f>C11/(Rozvaha!C2-Rozvaha!C103-Rozvaha!C117)</f>
        <v>0.15243060871505248</v>
      </c>
      <c r="D14" s="96">
        <f>D11/(Rozvaha!D2-Rozvaha!D103-Rozvaha!D117)</f>
        <v>0.14360977074249023</v>
      </c>
      <c r="E14" s="96">
        <f>E11/(Rozvaha!E2-Rozvaha!E103-Rozvaha!E117)</f>
        <v>8.9527555109024826E-2</v>
      </c>
      <c r="F14" s="96">
        <f>F11/(Rozvaha!F2-Rozvaha!F103-Rozvaha!F117)</f>
        <v>0.15261210777579806</v>
      </c>
      <c r="G14" s="96">
        <f>G11/(Rozvaha!G2-Rozvaha!G103-Rozvaha!G117)</f>
        <v>0.15134274286686847</v>
      </c>
      <c r="H14" s="509"/>
      <c r="I14" s="509"/>
      <c r="J14" s="509"/>
      <c r="K14" s="509"/>
      <c r="L14" s="509"/>
      <c r="M14" s="509"/>
    </row>
    <row r="15" spans="1:16" x14ac:dyDescent="0.25">
      <c r="B15" s="533" t="s">
        <v>336</v>
      </c>
      <c r="C15" s="96">
        <f>VZZ!C63/(VZZ!C2+VZZ!C6)</f>
        <v>1.7160795886355142E-2</v>
      </c>
      <c r="D15" s="96">
        <f>VZZ!D63/(VZZ!D2+VZZ!D6)</f>
        <v>1.6390009790993417E-2</v>
      </c>
      <c r="E15" s="96">
        <f>VZZ!E63/(VZZ!E2+VZZ!E6)</f>
        <v>7.0964578858692152E-3</v>
      </c>
      <c r="F15" s="96">
        <f>VZZ!F63/(VZZ!F2+VZZ!F6)</f>
        <v>2.2101492903059534E-2</v>
      </c>
      <c r="G15" s="96">
        <f>VZZ!G63/(VZZ!G2+VZZ!G6)</f>
        <v>2.5289081334022398E-2</v>
      </c>
      <c r="H15" s="509"/>
      <c r="I15" s="509"/>
      <c r="J15" s="509"/>
      <c r="K15" s="509"/>
      <c r="L15" s="509"/>
      <c r="M15" s="509"/>
    </row>
    <row r="33" spans="1:16" ht="15.75" x14ac:dyDescent="0.25">
      <c r="A33" s="45" t="s">
        <v>341</v>
      </c>
      <c r="B33" s="45"/>
      <c r="C33" s="45"/>
      <c r="D33" s="45"/>
      <c r="E33" s="45"/>
      <c r="F33" s="45"/>
      <c r="G33" s="45"/>
      <c r="H33" s="45"/>
      <c r="I33" s="45"/>
      <c r="J33" s="45"/>
      <c r="K33" s="46"/>
      <c r="L33" s="46"/>
      <c r="M33" s="46"/>
      <c r="N33" s="46"/>
      <c r="O33" s="46"/>
      <c r="P33" s="46"/>
    </row>
    <row r="34" spans="1:16" ht="15.75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</row>
    <row r="35" spans="1:16" ht="15.75" x14ac:dyDescent="0.25">
      <c r="A35" s="746" t="s">
        <v>342</v>
      </c>
      <c r="B35" s="737"/>
      <c r="C35" s="738" t="s">
        <v>346</v>
      </c>
      <c r="D35" s="738"/>
      <c r="E35" s="738"/>
      <c r="F35" s="738"/>
      <c r="G35" s="738"/>
      <c r="H35" s="46"/>
      <c r="I35" s="50"/>
      <c r="J35" s="50"/>
      <c r="K35" s="48"/>
      <c r="L35" s="46"/>
      <c r="M35" s="46"/>
      <c r="N35" s="46"/>
      <c r="O35" s="46"/>
      <c r="P35" s="46"/>
    </row>
    <row r="36" spans="1:16" ht="15.75" x14ac:dyDescent="0.25">
      <c r="A36" s="746" t="s">
        <v>448</v>
      </c>
      <c r="B36" s="737"/>
      <c r="C36" s="47" t="s">
        <v>449</v>
      </c>
      <c r="D36" s="47"/>
      <c r="E36" s="47"/>
      <c r="F36" s="47"/>
      <c r="G36" s="47"/>
      <c r="H36" s="46"/>
      <c r="I36" s="50"/>
      <c r="J36" s="50"/>
      <c r="K36" s="48"/>
      <c r="L36" s="46"/>
      <c r="M36" s="46"/>
      <c r="N36" s="46"/>
      <c r="O36" s="46"/>
      <c r="P36" s="46"/>
    </row>
    <row r="37" spans="1:16" ht="15.75" x14ac:dyDescent="0.25">
      <c r="A37" s="746" t="s">
        <v>343</v>
      </c>
      <c r="B37" s="737"/>
      <c r="C37" s="738" t="s">
        <v>347</v>
      </c>
      <c r="D37" s="738"/>
      <c r="E37" s="738"/>
      <c r="F37" s="738"/>
      <c r="G37" s="738"/>
      <c r="H37" s="46"/>
      <c r="I37" s="49"/>
      <c r="J37" s="49"/>
      <c r="K37" s="49"/>
      <c r="L37" s="46"/>
      <c r="M37" s="46"/>
      <c r="N37" s="46"/>
      <c r="O37" s="46"/>
      <c r="P37" s="46"/>
    </row>
    <row r="38" spans="1:16" ht="15.75" x14ac:dyDescent="0.25">
      <c r="A38" s="746" t="s">
        <v>344</v>
      </c>
      <c r="B38" s="737"/>
      <c r="C38" s="738" t="s">
        <v>348</v>
      </c>
      <c r="D38" s="738"/>
      <c r="E38" s="738"/>
      <c r="F38" s="738"/>
      <c r="G38" s="738"/>
      <c r="H38" s="46"/>
      <c r="I38" s="49"/>
      <c r="J38" s="49"/>
      <c r="K38" s="49"/>
      <c r="L38" s="46"/>
      <c r="M38" s="46"/>
      <c r="N38" s="46"/>
      <c r="O38" s="46"/>
      <c r="P38" s="46"/>
    </row>
    <row r="39" spans="1:16" ht="15.75" x14ac:dyDescent="0.25">
      <c r="A39" s="746" t="s">
        <v>345</v>
      </c>
      <c r="B39" s="737"/>
      <c r="C39" s="738" t="s">
        <v>352</v>
      </c>
      <c r="D39" s="738"/>
      <c r="E39" s="738"/>
      <c r="F39" s="738"/>
      <c r="G39" s="738"/>
      <c r="H39" s="46"/>
      <c r="I39" s="49"/>
      <c r="J39" s="49"/>
      <c r="K39" s="49"/>
      <c r="L39" s="46"/>
      <c r="M39" s="46"/>
      <c r="N39" s="46"/>
      <c r="O39" s="46"/>
      <c r="P39" s="46"/>
    </row>
    <row r="40" spans="1:16" ht="15.75" x14ac:dyDescent="0.25">
      <c r="A40" s="746" t="s">
        <v>450</v>
      </c>
      <c r="B40" s="737"/>
      <c r="C40" s="738" t="s">
        <v>455</v>
      </c>
      <c r="D40" s="738"/>
      <c r="E40" s="738"/>
      <c r="F40" s="738"/>
      <c r="G40" s="738"/>
      <c r="H40" s="46"/>
      <c r="I40" s="50"/>
      <c r="J40" s="50"/>
      <c r="K40" s="48"/>
      <c r="L40" s="46"/>
      <c r="M40" s="46"/>
      <c r="N40" s="46"/>
      <c r="O40" s="46"/>
      <c r="P40" s="46"/>
    </row>
    <row r="41" spans="1:16" ht="15.75" x14ac:dyDescent="0.25">
      <c r="A41" s="737" t="s">
        <v>451</v>
      </c>
      <c r="B41" s="737"/>
      <c r="C41" s="738" t="s">
        <v>453</v>
      </c>
      <c r="D41" s="738"/>
      <c r="E41" s="738"/>
      <c r="F41" s="738"/>
      <c r="G41" s="738"/>
      <c r="H41" s="46"/>
      <c r="I41" s="46"/>
      <c r="J41" s="46"/>
      <c r="K41" s="46"/>
      <c r="L41" s="46"/>
      <c r="M41" s="46"/>
      <c r="N41" s="46"/>
      <c r="O41" s="46"/>
      <c r="P41" s="46"/>
    </row>
    <row r="42" spans="1:16" ht="15.75" x14ac:dyDescent="0.25">
      <c r="A42" s="737" t="s">
        <v>452</v>
      </c>
      <c r="B42" s="737"/>
      <c r="C42" s="738" t="s">
        <v>454</v>
      </c>
      <c r="D42" s="738"/>
      <c r="E42" s="738"/>
      <c r="F42" s="738"/>
      <c r="G42" s="738"/>
      <c r="H42" s="46"/>
      <c r="I42" s="46"/>
      <c r="J42" s="46"/>
      <c r="K42" s="46"/>
      <c r="L42" s="46"/>
      <c r="M42" s="46"/>
      <c r="N42" s="46"/>
      <c r="O42" s="46"/>
      <c r="P42" s="46"/>
    </row>
    <row r="43" spans="1:16" ht="15.75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</row>
    <row r="44" spans="1:16" ht="15.75" x14ac:dyDescent="0.25">
      <c r="A44" s="740" t="s">
        <v>1516</v>
      </c>
      <c r="B44" s="810"/>
      <c r="C44" s="637">
        <f>Rozvaha!C1</f>
        <v>2012</v>
      </c>
      <c r="D44" s="637">
        <f>Rozvaha!D1</f>
        <v>2013</v>
      </c>
      <c r="E44" s="637">
        <f>Rozvaha!E1</f>
        <v>2014</v>
      </c>
      <c r="F44" s="637">
        <f>Rozvaha!F1</f>
        <v>2015</v>
      </c>
      <c r="G44" s="809">
        <f>Rozvaha!G1</f>
        <v>2016</v>
      </c>
      <c r="H44" s="510"/>
      <c r="I44" s="510"/>
      <c r="J44" s="510"/>
      <c r="K44" s="510"/>
      <c r="L44" s="510"/>
      <c r="M44" s="510"/>
      <c r="N44" s="46"/>
      <c r="O44" s="46"/>
      <c r="P44" s="46"/>
    </row>
    <row r="45" spans="1:16" ht="15.75" x14ac:dyDescent="0.25">
      <c r="A45" s="744" t="s">
        <v>194</v>
      </c>
      <c r="B45" s="745"/>
      <c r="C45" s="56">
        <f>VZZ!C2</f>
        <v>1439502</v>
      </c>
      <c r="D45" s="56">
        <f>VZZ!D2</f>
        <v>1766930</v>
      </c>
      <c r="E45" s="56">
        <f>VZZ!E2</f>
        <v>1831618</v>
      </c>
      <c r="F45" s="56">
        <f>VZZ!F2</f>
        <v>1893492</v>
      </c>
      <c r="G45" s="57">
        <f>VZZ!G2</f>
        <v>2054958</v>
      </c>
      <c r="H45" s="511"/>
      <c r="I45" s="511"/>
      <c r="J45" s="511"/>
      <c r="K45" s="511"/>
      <c r="L45" s="511"/>
      <c r="M45" s="511"/>
      <c r="N45" s="46"/>
      <c r="O45" s="46"/>
      <c r="P45" s="46"/>
    </row>
    <row r="46" spans="1:16" ht="15.75" x14ac:dyDescent="0.25">
      <c r="A46" s="744" t="s">
        <v>350</v>
      </c>
      <c r="B46" s="745"/>
      <c r="C46" s="56">
        <f>VZZ!C6</f>
        <v>0</v>
      </c>
      <c r="D46" s="56">
        <f>VZZ!D6</f>
        <v>0</v>
      </c>
      <c r="E46" s="56">
        <f>VZZ!E6</f>
        <v>0</v>
      </c>
      <c r="F46" s="56">
        <f>VZZ!F6</f>
        <v>0</v>
      </c>
      <c r="G46" s="57">
        <f>VZZ!G6</f>
        <v>0</v>
      </c>
      <c r="H46" s="511"/>
      <c r="I46" s="511"/>
      <c r="J46" s="511"/>
      <c r="K46" s="511"/>
      <c r="L46" s="511"/>
      <c r="M46" s="511"/>
      <c r="N46" s="46"/>
      <c r="O46" s="46"/>
      <c r="P46" s="46"/>
    </row>
    <row r="47" spans="1:16" ht="15.75" x14ac:dyDescent="0.25">
      <c r="A47" s="744" t="s">
        <v>351</v>
      </c>
      <c r="B47" s="745"/>
      <c r="C47" s="56">
        <f>SUM(C45:C46)</f>
        <v>1439502</v>
      </c>
      <c r="D47" s="56">
        <f t="shared" ref="D47:G47" si="0">SUM(D45:D46)</f>
        <v>1766930</v>
      </c>
      <c r="E47" s="56">
        <f t="shared" si="0"/>
        <v>1831618</v>
      </c>
      <c r="F47" s="56">
        <f t="shared" si="0"/>
        <v>1893492</v>
      </c>
      <c r="G47" s="57">
        <f t="shared" si="0"/>
        <v>2054958</v>
      </c>
      <c r="H47" s="511"/>
      <c r="I47" s="511"/>
      <c r="J47" s="511"/>
      <c r="K47" s="511"/>
      <c r="L47" s="511"/>
      <c r="M47" s="511"/>
      <c r="N47" s="46"/>
      <c r="O47" s="46"/>
      <c r="P47" s="46"/>
    </row>
    <row r="48" spans="1:16" ht="15.75" x14ac:dyDescent="0.25">
      <c r="A48" s="742" t="s">
        <v>349</v>
      </c>
      <c r="B48" s="743"/>
      <c r="C48" s="58">
        <f>C47/365</f>
        <v>3943.841095890411</v>
      </c>
      <c r="D48" s="58">
        <f t="shared" ref="D48:G48" si="1">D47/360</f>
        <v>4908.1388888888887</v>
      </c>
      <c r="E48" s="58">
        <f t="shared" si="1"/>
        <v>5087.8277777777776</v>
      </c>
      <c r="F48" s="58">
        <f t="shared" si="1"/>
        <v>5259.7</v>
      </c>
      <c r="G48" s="59">
        <f t="shared" si="1"/>
        <v>5708.2166666666662</v>
      </c>
      <c r="H48" s="513"/>
      <c r="I48" s="513"/>
      <c r="J48" s="513"/>
      <c r="K48" s="513"/>
      <c r="L48" s="513"/>
      <c r="M48" s="513"/>
      <c r="N48" s="46"/>
      <c r="O48" s="46"/>
      <c r="P48" s="46"/>
    </row>
    <row r="49" spans="1:16" ht="15.75" x14ac:dyDescent="0.25">
      <c r="A49" s="46"/>
      <c r="B49" s="46"/>
      <c r="C49" s="46"/>
      <c r="D49" s="46"/>
      <c r="E49" s="46"/>
      <c r="F49" s="46"/>
      <c r="G49" s="46"/>
      <c r="H49" s="49"/>
      <c r="I49" s="49"/>
      <c r="J49" s="49"/>
      <c r="K49" s="49"/>
      <c r="L49" s="49"/>
      <c r="M49" s="49"/>
      <c r="N49" s="46"/>
      <c r="O49" s="46"/>
      <c r="P49" s="46"/>
    </row>
    <row r="50" spans="1:16" x14ac:dyDescent="0.25">
      <c r="H50" s="214"/>
      <c r="I50" s="214"/>
      <c r="J50" s="214"/>
      <c r="K50" s="214"/>
      <c r="L50" s="214"/>
      <c r="M50" s="214"/>
    </row>
    <row r="51" spans="1:16" x14ac:dyDescent="0.25">
      <c r="A51" s="740" t="s">
        <v>1516</v>
      </c>
      <c r="B51" s="741"/>
      <c r="C51" s="637">
        <f>Rozvaha!C1</f>
        <v>2012</v>
      </c>
      <c r="D51" s="637">
        <f>Rozvaha!D1</f>
        <v>2013</v>
      </c>
      <c r="E51" s="637">
        <f>Rozvaha!E1</f>
        <v>2014</v>
      </c>
      <c r="F51" s="637">
        <f>Rozvaha!F1</f>
        <v>2015</v>
      </c>
      <c r="G51" s="809">
        <f>Rozvaha!G1</f>
        <v>2016</v>
      </c>
      <c r="H51" s="510"/>
      <c r="I51" s="510"/>
      <c r="J51" s="510"/>
      <c r="K51" s="510"/>
      <c r="L51" s="510"/>
      <c r="M51" s="510"/>
    </row>
    <row r="52" spans="1:16" x14ac:dyDescent="0.25">
      <c r="A52" s="739" t="s">
        <v>342</v>
      </c>
      <c r="B52" s="731"/>
      <c r="C52" s="52">
        <f>C47/Rozvaha!C2</f>
        <v>2.6677907387481286</v>
      </c>
      <c r="D52" s="52">
        <f>D47/Rozvaha!D2</f>
        <v>2.7269163635353473</v>
      </c>
      <c r="E52" s="52">
        <f>E47/Rozvaha!E2</f>
        <v>2.7949765383588296</v>
      </c>
      <c r="F52" s="52">
        <f>F47/Rozvaha!F2</f>
        <v>2.8334999371494587</v>
      </c>
      <c r="G52" s="53">
        <f>G47/Rozvaha!G2</f>
        <v>2.8119678703868418</v>
      </c>
      <c r="H52" s="512"/>
      <c r="I52" s="512"/>
      <c r="J52" s="512"/>
      <c r="K52" s="512"/>
      <c r="L52" s="512"/>
      <c r="M52" s="512"/>
    </row>
    <row r="53" spans="1:16" x14ac:dyDescent="0.25">
      <c r="A53" s="739" t="s">
        <v>448</v>
      </c>
      <c r="B53" s="731"/>
      <c r="C53" s="52">
        <f>C47/Rozvaha!C4</f>
        <v>3.8683978002700212</v>
      </c>
      <c r="D53" s="52">
        <f>D47/Rozvaha!D4</f>
        <v>4.0251909022981174</v>
      </c>
      <c r="E53" s="52">
        <f>E47/Rozvaha!E4</f>
        <v>4.2139678917023655</v>
      </c>
      <c r="F53" s="52">
        <f>F47/Rozvaha!F4</f>
        <v>4.4265702877341289</v>
      </c>
      <c r="G53" s="53">
        <f>G47/Rozvaha!G4</f>
        <v>4.4605703568963344</v>
      </c>
      <c r="H53" s="512"/>
      <c r="I53" s="512"/>
      <c r="J53" s="512"/>
      <c r="K53" s="512"/>
      <c r="L53" s="512"/>
      <c r="M53" s="512"/>
    </row>
    <row r="54" spans="1:16" x14ac:dyDescent="0.25">
      <c r="A54" s="739" t="s">
        <v>343</v>
      </c>
      <c r="B54" s="731"/>
      <c r="C54" s="52">
        <f>C47/Rozvaha!C33</f>
        <v>13.237238198230012</v>
      </c>
      <c r="D54" s="52">
        <f>D47/Rozvaha!D33</f>
        <v>12.837142732596154</v>
      </c>
      <c r="E54" s="52">
        <f>E47/Rozvaha!E33</f>
        <v>13.226779705079506</v>
      </c>
      <c r="F54" s="52">
        <f>F47/Rozvaha!F33</f>
        <v>13.394063720219568</v>
      </c>
      <c r="G54" s="53">
        <f>G47/Rozvaha!G33</f>
        <v>14.049265731397162</v>
      </c>
      <c r="H54" s="512"/>
      <c r="I54" s="512"/>
      <c r="J54" s="512"/>
      <c r="K54" s="512"/>
      <c r="L54" s="512"/>
      <c r="M54" s="512"/>
    </row>
    <row r="55" spans="1:16" x14ac:dyDescent="0.25">
      <c r="A55" s="739" t="s">
        <v>344</v>
      </c>
      <c r="B55" s="731"/>
      <c r="C55" s="52">
        <f>Rozvaha!C2/'Poměrové ukazatele'!C48</f>
        <v>136.81732779808573</v>
      </c>
      <c r="D55" s="52">
        <f>Rozvaha!D2/'Poměrové ukazatele'!D48</f>
        <v>132.01725025892367</v>
      </c>
      <c r="E55" s="52">
        <f>Rozvaha!E2/'Poměrové ukazatele'!E48</f>
        <v>128.80251231424893</v>
      </c>
      <c r="F55" s="52">
        <f>Rozvaha!F2/'Poměrové ukazatele'!F48</f>
        <v>127.05135273874936</v>
      </c>
      <c r="G55" s="53">
        <f>Rozvaha!G2/'Poměrové ukazatele'!G48</f>
        <v>128.02422239286642</v>
      </c>
      <c r="H55" s="512"/>
      <c r="I55" s="512"/>
      <c r="J55" s="512"/>
      <c r="K55" s="512"/>
      <c r="L55" s="512"/>
      <c r="M55" s="512"/>
    </row>
    <row r="56" spans="1:16" x14ac:dyDescent="0.25">
      <c r="A56" s="739" t="s">
        <v>345</v>
      </c>
      <c r="B56" s="731"/>
      <c r="C56" s="52">
        <f>Rozvaha!C33/'Poměrové ukazatele'!C48</f>
        <v>27.573727580788354</v>
      </c>
      <c r="D56" s="52">
        <f>Rozvaha!D33/'Poměrové ukazatele'!D48</f>
        <v>28.043623686280725</v>
      </c>
      <c r="E56" s="52">
        <f>Rozvaha!E33/'Poměrové ukazatele'!E48</f>
        <v>27.217509327818355</v>
      </c>
      <c r="F56" s="52">
        <f>Rozvaha!F33/'Poměrové ukazatele'!F48</f>
        <v>26.877578569119912</v>
      </c>
      <c r="G56" s="53">
        <f>Rozvaha!G33/'Poměrové ukazatele'!G48</f>
        <v>25.624114945414945</v>
      </c>
      <c r="H56" s="512"/>
      <c r="I56" s="512"/>
      <c r="J56" s="512"/>
      <c r="K56" s="512"/>
      <c r="L56" s="512"/>
      <c r="M56" s="512"/>
    </row>
    <row r="57" spans="1:16" x14ac:dyDescent="0.25">
      <c r="A57" s="739" t="s">
        <v>450</v>
      </c>
      <c r="B57" s="731"/>
      <c r="C57" s="52">
        <f>(Rozvaha!C40+Rozvaha!C48)/'Poměrové ukazatele'!C48</f>
        <v>11.217490493240023</v>
      </c>
      <c r="D57" s="52">
        <f>(Rozvaha!D40+Rozvaha!D48)/'Poměrové ukazatele'!D48</f>
        <v>9.091837254446979</v>
      </c>
      <c r="E57" s="52">
        <f>(Rozvaha!E40+Rozvaha!E48)/'Poměrové ukazatele'!E48</f>
        <v>9.170907907653234</v>
      </c>
      <c r="F57" s="52">
        <f>(Rozvaha!F40+Rozvaha!F48)/'Poměrové ukazatele'!F48</f>
        <v>8.9419548643458757</v>
      </c>
      <c r="G57" s="53">
        <f>(Rozvaha!G40+Rozvaha!G48)/'Poměrové ukazatele'!G48</f>
        <v>10.358051113453415</v>
      </c>
      <c r="H57" s="512"/>
      <c r="I57" s="512"/>
      <c r="J57" s="512"/>
      <c r="K57" s="512"/>
      <c r="L57" s="512"/>
      <c r="M57" s="512"/>
    </row>
    <row r="58" spans="1:16" x14ac:dyDescent="0.25">
      <c r="A58" s="739" t="s">
        <v>451</v>
      </c>
      <c r="B58" s="731"/>
      <c r="C58" s="52">
        <f>C47/(Rozvaha!C40+Rozvaha!C48)</f>
        <v>32.538471971066905</v>
      </c>
      <c r="D58" s="52">
        <f>D47/(Rozvaha!D40+Rozvaha!D48)</f>
        <v>39.595957332377196</v>
      </c>
      <c r="E58" s="52">
        <f>E47/(Rozvaha!E40+Rozvaha!E48)</f>
        <v>39.254564937848265</v>
      </c>
      <c r="F58" s="52">
        <f>F47/(Rozvaha!F40+Rozvaha!F48)</f>
        <v>40.259653002211259</v>
      </c>
      <c r="G58" s="53">
        <f>G47/(Rozvaha!G40+Rozvaha!G48)</f>
        <v>34.755572844433921</v>
      </c>
      <c r="H58" s="512"/>
      <c r="I58" s="512"/>
      <c r="J58" s="512"/>
      <c r="K58" s="512"/>
      <c r="L58" s="512"/>
      <c r="M58" s="512"/>
    </row>
    <row r="59" spans="1:16" x14ac:dyDescent="0.25">
      <c r="A59" s="747" t="s">
        <v>452</v>
      </c>
      <c r="B59" s="748"/>
      <c r="C59" s="54">
        <f>(Rozvaha!C92+Rozvaha!C103)/'Poměrové ukazatele'!C48</f>
        <v>33.74172456863554</v>
      </c>
      <c r="D59" s="54">
        <f>(Rozvaha!D92+Rozvaha!D103)/'Poměrové ukazatele'!D48</f>
        <v>42.244118329532014</v>
      </c>
      <c r="E59" s="54">
        <f>(Rozvaha!E92+Rozvaha!E103)/'Poměrové ukazatele'!E48</f>
        <v>42.358352014448428</v>
      </c>
      <c r="F59" s="54">
        <f>(Rozvaha!F92+Rozvaha!F103)/'Poměrové ukazatele'!F48</f>
        <v>40.656311196456073</v>
      </c>
      <c r="G59" s="55">
        <f>(Rozvaha!G92+Rozvaha!G103)/'Poměrové ukazatele'!G48</f>
        <v>37.406428744529087</v>
      </c>
      <c r="H59" s="512"/>
      <c r="I59" s="512"/>
      <c r="J59" s="512"/>
      <c r="K59" s="512"/>
      <c r="L59" s="512"/>
      <c r="M59" s="512"/>
    </row>
    <row r="76" spans="1:16" ht="15.75" x14ac:dyDescent="0.25">
      <c r="A76" s="45" t="s">
        <v>353</v>
      </c>
      <c r="B76" s="45"/>
      <c r="C76" s="45"/>
      <c r="D76" s="45"/>
      <c r="E76" s="45"/>
      <c r="F76" s="45"/>
      <c r="G76" s="45"/>
      <c r="H76" s="45"/>
      <c r="I76" s="45"/>
      <c r="J76" s="45"/>
      <c r="K76" s="46"/>
      <c r="L76" s="46"/>
      <c r="M76" s="46"/>
      <c r="N76" s="46"/>
      <c r="O76" s="46"/>
      <c r="P76" s="46"/>
    </row>
    <row r="78" spans="1:16" x14ac:dyDescent="0.25">
      <c r="A78" s="749" t="s">
        <v>354</v>
      </c>
      <c r="B78" s="749"/>
      <c r="C78" s="734" t="s">
        <v>357</v>
      </c>
      <c r="D78" s="734"/>
      <c r="E78" s="734"/>
      <c r="F78" s="734"/>
      <c r="G78" s="100" t="s">
        <v>481</v>
      </c>
      <c r="H78" s="94"/>
    </row>
    <row r="79" spans="1:16" x14ac:dyDescent="0.25">
      <c r="A79" s="749" t="s">
        <v>472</v>
      </c>
      <c r="B79" s="749"/>
      <c r="C79" s="734" t="s">
        <v>456</v>
      </c>
      <c r="D79" s="734"/>
      <c r="E79" s="734"/>
      <c r="F79" s="734"/>
      <c r="G79" s="100" t="s">
        <v>480</v>
      </c>
      <c r="H79" s="94"/>
    </row>
    <row r="80" spans="1:16" x14ac:dyDescent="0.25">
      <c r="A80" s="749" t="s">
        <v>356</v>
      </c>
      <c r="B80" s="749"/>
      <c r="C80" s="734" t="s">
        <v>358</v>
      </c>
      <c r="D80" s="734"/>
      <c r="E80" s="734"/>
      <c r="F80" s="734"/>
      <c r="G80" s="100" t="s">
        <v>479</v>
      </c>
      <c r="H80" s="94"/>
    </row>
    <row r="82" spans="1:13" x14ac:dyDescent="0.25">
      <c r="A82" s="812" t="s">
        <v>1516</v>
      </c>
      <c r="B82" s="813"/>
      <c r="C82" s="814">
        <f>Rozvaha!C1</f>
        <v>2012</v>
      </c>
      <c r="D82" s="814">
        <f>Rozvaha!D1</f>
        <v>2013</v>
      </c>
      <c r="E82" s="814">
        <f>Rozvaha!E1</f>
        <v>2014</v>
      </c>
      <c r="F82" s="814">
        <f>Rozvaha!F1</f>
        <v>2015</v>
      </c>
      <c r="G82" s="814">
        <f>Rozvaha!G1</f>
        <v>2016</v>
      </c>
      <c r="H82" s="510"/>
      <c r="I82" s="510"/>
      <c r="J82" s="510"/>
      <c r="K82" s="510"/>
      <c r="L82" s="510"/>
      <c r="M82" s="510"/>
    </row>
    <row r="83" spans="1:13" x14ac:dyDescent="0.25">
      <c r="A83" s="731" t="s">
        <v>354</v>
      </c>
      <c r="B83" s="731"/>
      <c r="C83" s="51">
        <f>Rozvaha!C32/(Rozvaha!C103+Rozvaha!C117)</f>
        <v>0.87850674885747682</v>
      </c>
      <c r="D83" s="51">
        <f>Rozvaha!D32/(Rozvaha!D103+Rozvaha!D117)</f>
        <v>0.87363469969778229</v>
      </c>
      <c r="E83" s="51">
        <f>Rozvaha!E32/(Rozvaha!E103+Rozvaha!E117)</f>
        <v>0.92034008768811471</v>
      </c>
      <c r="F83" s="51">
        <f>Rozvaha!F32/(Rozvaha!F103+Rozvaha!F117)</f>
        <v>1.0191269582676541</v>
      </c>
      <c r="G83" s="51">
        <f>Rozvaha!G32/(Rozvaha!G103+Rozvaha!G117)</f>
        <v>1.0799248044240626</v>
      </c>
      <c r="H83" s="509"/>
      <c r="I83" s="509"/>
      <c r="J83" s="509"/>
      <c r="K83" s="509"/>
      <c r="L83" s="509"/>
      <c r="M83" s="509"/>
    </row>
    <row r="84" spans="1:13" x14ac:dyDescent="0.25">
      <c r="A84" s="731" t="s">
        <v>355</v>
      </c>
      <c r="B84" s="731"/>
      <c r="C84" s="51">
        <f>(Rozvaha!C48+Rozvaha!C58)/Rozvaha!C103</f>
        <v>0.10402922368265645</v>
      </c>
      <c r="D84" s="51">
        <f>(Rozvaha!D48+Rozvaha!D58)/Rozvaha!D103</f>
        <v>0.13687051002537617</v>
      </c>
      <c r="E84" s="51">
        <f>(Rozvaha!E48+Rozvaha!E58)/Rozvaha!E103</f>
        <v>0.17999665961474223</v>
      </c>
      <c r="F84" s="51">
        <f>(Rozvaha!F48+Rozvaha!F58)/Rozvaha!F103</f>
        <v>0.22297136347159649</v>
      </c>
      <c r="G84" s="51">
        <f>(Rozvaha!G48+Rozvaha!G58)/Rozvaha!G103</f>
        <v>0.25312571605048967</v>
      </c>
      <c r="H84" s="509"/>
      <c r="I84" s="509"/>
      <c r="J84" s="509"/>
      <c r="K84" s="509"/>
      <c r="L84" s="509"/>
      <c r="M84" s="509"/>
    </row>
    <row r="85" spans="1:13" x14ac:dyDescent="0.25">
      <c r="A85" s="731" t="s">
        <v>356</v>
      </c>
      <c r="B85" s="731"/>
      <c r="C85" s="51">
        <f>Rozvaha!C58/(Rozvaha!C103+Rozvaha!C117)</f>
        <v>6.5527686257838239E-2</v>
      </c>
      <c r="D85" s="51">
        <f>Rozvaha!D58/(Rozvaha!D103+Rozvaha!D117)</f>
        <v>9.7803601072659938E-2</v>
      </c>
      <c r="E85" s="51">
        <f>Rozvaha!E58/(Rozvaha!E103+Rozvaha!E117)</f>
        <v>0.13682646894520339</v>
      </c>
      <c r="F85" s="51">
        <f>Rozvaha!F58/(Rozvaha!F103+Rozvaha!F117)</f>
        <v>0.18958760798541702</v>
      </c>
      <c r="G85" s="51">
        <f>Rozvaha!G58/(Rozvaha!G103+Rozvaha!G117)</f>
        <v>0.21418937145940115</v>
      </c>
      <c r="H85" s="509"/>
      <c r="I85" s="509"/>
      <c r="J85" s="509"/>
      <c r="K85" s="509"/>
      <c r="L85" s="509"/>
      <c r="M85" s="509"/>
    </row>
    <row r="102" spans="1:16" ht="15.75" x14ac:dyDescent="0.25">
      <c r="A102" s="45" t="s">
        <v>359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6"/>
      <c r="L102" s="46"/>
      <c r="M102" s="46"/>
      <c r="N102" s="46"/>
      <c r="O102" s="46"/>
      <c r="P102" s="46"/>
    </row>
    <row r="104" spans="1:16" ht="30.75" customHeight="1" x14ac:dyDescent="0.25">
      <c r="A104" s="732" t="s">
        <v>458</v>
      </c>
      <c r="B104" s="732"/>
      <c r="C104" s="733" t="s">
        <v>361</v>
      </c>
      <c r="D104" s="733"/>
      <c r="E104" s="733"/>
      <c r="F104" s="735" t="s">
        <v>478</v>
      </c>
      <c r="G104" s="735"/>
      <c r="H104" s="735"/>
      <c r="I104" s="735"/>
      <c r="J104" s="735"/>
      <c r="K104" s="735"/>
      <c r="L104" s="735"/>
      <c r="M104" s="735"/>
    </row>
    <row r="105" spans="1:16" x14ac:dyDescent="0.25">
      <c r="A105" s="732" t="s">
        <v>457</v>
      </c>
      <c r="B105" s="732"/>
      <c r="C105" s="733" t="s">
        <v>362</v>
      </c>
      <c r="D105" s="733"/>
      <c r="E105" s="733"/>
      <c r="F105" s="98" t="s">
        <v>477</v>
      </c>
      <c r="G105" s="98"/>
      <c r="H105" s="98"/>
      <c r="I105" s="98"/>
      <c r="J105" s="99"/>
      <c r="K105" s="515"/>
      <c r="L105" s="515"/>
      <c r="M105" s="515"/>
    </row>
    <row r="106" spans="1:16" ht="30.75" customHeight="1" x14ac:dyDescent="0.25">
      <c r="A106" s="732" t="s">
        <v>360</v>
      </c>
      <c r="B106" s="732"/>
      <c r="C106" s="733" t="s">
        <v>363</v>
      </c>
      <c r="D106" s="733"/>
      <c r="E106" s="733"/>
      <c r="F106" s="736" t="s">
        <v>476</v>
      </c>
      <c r="G106" s="736"/>
      <c r="H106" s="736"/>
      <c r="I106" s="736"/>
      <c r="J106" s="736"/>
      <c r="K106" s="736"/>
      <c r="L106" s="736"/>
      <c r="M106" s="736"/>
    </row>
    <row r="107" spans="1:16" x14ac:dyDescent="0.25">
      <c r="A107" s="732" t="s">
        <v>459</v>
      </c>
      <c r="B107" s="732"/>
      <c r="C107" s="733" t="s">
        <v>460</v>
      </c>
      <c r="D107" s="733"/>
      <c r="E107" s="733"/>
      <c r="F107" s="99"/>
      <c r="G107" s="99"/>
      <c r="H107" s="99"/>
      <c r="I107" s="99"/>
      <c r="J107" s="99"/>
      <c r="K107" s="515"/>
      <c r="L107" s="515"/>
      <c r="M107" s="515"/>
    </row>
    <row r="109" spans="1:16" x14ac:dyDescent="0.25">
      <c r="A109" s="812" t="s">
        <v>1516</v>
      </c>
      <c r="B109" s="813"/>
      <c r="C109" s="814">
        <f>Rozvaha!C1</f>
        <v>2012</v>
      </c>
      <c r="D109" s="814">
        <f>Rozvaha!D1</f>
        <v>2013</v>
      </c>
      <c r="E109" s="814">
        <f>Rozvaha!E1</f>
        <v>2014</v>
      </c>
      <c r="F109" s="814">
        <f>Rozvaha!F1</f>
        <v>2015</v>
      </c>
      <c r="G109" s="814">
        <f>Rozvaha!G1</f>
        <v>2016</v>
      </c>
      <c r="H109" s="510"/>
      <c r="I109" s="510"/>
      <c r="J109" s="510"/>
      <c r="K109" s="510"/>
      <c r="L109" s="510"/>
      <c r="M109" s="510"/>
    </row>
    <row r="110" spans="1:16" x14ac:dyDescent="0.25">
      <c r="A110" s="731" t="s">
        <v>458</v>
      </c>
      <c r="B110" s="731"/>
      <c r="C110" s="95">
        <f>Rozvaha!C86/Rozvaha!C69</f>
        <v>0.95879752431476573</v>
      </c>
      <c r="D110" s="95">
        <f>Rozvaha!D86/Rozvaha!D69</f>
        <v>1.1963925486135247</v>
      </c>
      <c r="E110" s="95">
        <f>Rozvaha!E86/Rozvaha!E69</f>
        <v>1.2698125939440246</v>
      </c>
      <c r="F110" s="95">
        <f>Rozvaha!F86/Rozvaha!F69</f>
        <v>1.1329462819610603</v>
      </c>
      <c r="G110" s="95">
        <f>Rozvaha!G86/Rozvaha!G69</f>
        <v>1.0964293213260854</v>
      </c>
      <c r="H110" s="514"/>
      <c r="I110" s="514"/>
      <c r="J110" s="514"/>
      <c r="K110" s="514"/>
      <c r="L110" s="514"/>
      <c r="M110" s="514"/>
    </row>
    <row r="111" spans="1:16" x14ac:dyDescent="0.25">
      <c r="A111" s="731" t="s">
        <v>457</v>
      </c>
      <c r="B111" s="731"/>
      <c r="C111" s="95">
        <f>Rozvaha!C86/Rozvaha!C2</f>
        <v>0.46222862054561104</v>
      </c>
      <c r="D111" s="95">
        <f>Rozvaha!D86/Rozvaha!D2</f>
        <v>0.51531038229270676</v>
      </c>
      <c r="E111" s="95">
        <f>Rozvaha!E86/Rozvaha!E2</f>
        <v>0.54272002441536638</v>
      </c>
      <c r="F111" s="95">
        <f>Rozvaha!F86/Rozvaha!F2</f>
        <v>0.5203755469493544</v>
      </c>
      <c r="G111" s="95">
        <f>Rozvaha!G86/Rozvaha!G2</f>
        <v>0.51447064136071918</v>
      </c>
      <c r="H111" s="514"/>
      <c r="I111" s="514"/>
      <c r="J111" s="514"/>
      <c r="K111" s="514"/>
      <c r="L111" s="514"/>
      <c r="M111" s="514"/>
    </row>
    <row r="112" spans="1:16" x14ac:dyDescent="0.25">
      <c r="A112" s="731" t="s">
        <v>360</v>
      </c>
      <c r="B112" s="731"/>
      <c r="C112" s="51">
        <f>(C11+VZZ!C46)/VZZ!C46</f>
        <v>3.3220478585052886</v>
      </c>
      <c r="D112" s="51">
        <f>(D11+VZZ!D46)/VZZ!D46</f>
        <v>3.5174008997538411</v>
      </c>
      <c r="E112" s="51">
        <f>(E11+VZZ!E46)/VZZ!E46</f>
        <v>2.7474846282839573</v>
      </c>
      <c r="F112" s="51">
        <f>(F11+VZZ!F46)/VZZ!F46</f>
        <v>5.2995912632520117</v>
      </c>
      <c r="G112" s="51">
        <f>(G11+VZZ!G46)/VZZ!G46</f>
        <v>8.0894077448747161</v>
      </c>
      <c r="H112" s="509"/>
      <c r="I112" s="509"/>
      <c r="J112" s="509"/>
      <c r="K112" s="509"/>
      <c r="L112" s="509"/>
      <c r="M112" s="509"/>
    </row>
    <row r="113" spans="1:13" x14ac:dyDescent="0.25">
      <c r="A113" s="731" t="s">
        <v>459</v>
      </c>
      <c r="B113" s="731"/>
      <c r="C113" s="51">
        <f>Rozvaha!C69/Rozvaha!C2</f>
        <v>0.48209200464504437</v>
      </c>
      <c r="D113" s="51">
        <f>Rozvaha!D69/Rozvaha!D2</f>
        <v>0.43072015358996479</v>
      </c>
      <c r="E113" s="51">
        <f>Rozvaha!E69/Rozvaha!E2</f>
        <v>0.42740167092663944</v>
      </c>
      <c r="F113" s="51">
        <f>Rozvaha!F69/Rozvaha!F2</f>
        <v>0.45931175664270363</v>
      </c>
      <c r="G113" s="51">
        <f>Rozvaha!G69/Rozvaha!G2</f>
        <v>0.46922371679962782</v>
      </c>
      <c r="H113" s="509"/>
      <c r="I113" s="509"/>
      <c r="J113" s="509"/>
      <c r="K113" s="509"/>
      <c r="L113" s="509"/>
      <c r="M113" s="509"/>
    </row>
    <row r="114" spans="1:13" x14ac:dyDescent="0.25">
      <c r="A114" s="532" t="s">
        <v>982</v>
      </c>
      <c r="B114" s="532"/>
      <c r="C114" s="815" t="s">
        <v>1009</v>
      </c>
      <c r="D114" s="51">
        <f>(Rozvaha!D86-Rozvaha!D87)/CashFlow!F16</f>
        <v>4.1649422618807286</v>
      </c>
      <c r="E114" s="51">
        <f>(Rozvaha!E86-Rozvaha!E87)/CashFlow!G16</f>
        <v>7.1727709645343056</v>
      </c>
      <c r="F114" s="51">
        <f>(Rozvaha!F86-Rozvaha!F87)/CashFlow!H16</f>
        <v>4.8151219307214994</v>
      </c>
      <c r="G114" s="51">
        <f>(Rozvaha!G86-Rozvaha!G87)/CashFlow!I16</f>
        <v>4.4915110562135192</v>
      </c>
      <c r="H114" s="509"/>
      <c r="I114" s="509"/>
      <c r="J114" s="509"/>
      <c r="K114" s="509"/>
      <c r="L114" s="509"/>
      <c r="M114" s="509"/>
    </row>
  </sheetData>
  <mergeCells count="56">
    <mergeCell ref="A59:B59"/>
    <mergeCell ref="A85:B85"/>
    <mergeCell ref="A104:B104"/>
    <mergeCell ref="A105:B105"/>
    <mergeCell ref="A106:B106"/>
    <mergeCell ref="A78:B78"/>
    <mergeCell ref="A79:B79"/>
    <mergeCell ref="A80:B80"/>
    <mergeCell ref="A83:B83"/>
    <mergeCell ref="A84:B84"/>
    <mergeCell ref="A82:B82"/>
    <mergeCell ref="C78:F78"/>
    <mergeCell ref="C4:H4"/>
    <mergeCell ref="C7:H7"/>
    <mergeCell ref="A35:B35"/>
    <mergeCell ref="A37:B37"/>
    <mergeCell ref="A38:B38"/>
    <mergeCell ref="A39:B39"/>
    <mergeCell ref="A36:B36"/>
    <mergeCell ref="C35:G35"/>
    <mergeCell ref="C37:G37"/>
    <mergeCell ref="C38:G38"/>
    <mergeCell ref="C39:G39"/>
    <mergeCell ref="C40:G40"/>
    <mergeCell ref="A46:B46"/>
    <mergeCell ref="A45:B45"/>
    <mergeCell ref="A40:B40"/>
    <mergeCell ref="A41:B41"/>
    <mergeCell ref="A42:B42"/>
    <mergeCell ref="C42:G42"/>
    <mergeCell ref="A58:B58"/>
    <mergeCell ref="A51:B51"/>
    <mergeCell ref="A52:B52"/>
    <mergeCell ref="A53:B53"/>
    <mergeCell ref="C41:G41"/>
    <mergeCell ref="A54:B54"/>
    <mergeCell ref="A55:B55"/>
    <mergeCell ref="A56:B56"/>
    <mergeCell ref="A57:B57"/>
    <mergeCell ref="A48:B48"/>
    <mergeCell ref="A47:B47"/>
    <mergeCell ref="A44:B44"/>
    <mergeCell ref="C104:E104"/>
    <mergeCell ref="C105:E105"/>
    <mergeCell ref="C106:E106"/>
    <mergeCell ref="C79:F79"/>
    <mergeCell ref="C80:F80"/>
    <mergeCell ref="F104:M104"/>
    <mergeCell ref="F106:M106"/>
    <mergeCell ref="A113:B113"/>
    <mergeCell ref="A107:B107"/>
    <mergeCell ref="C107:E107"/>
    <mergeCell ref="A112:B112"/>
    <mergeCell ref="A111:B111"/>
    <mergeCell ref="A110:B110"/>
    <mergeCell ref="A109:B10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7EA79-062A-43FA-8A32-672DB38BC9E9}">
  <dimension ref="A2:J10"/>
  <sheetViews>
    <sheetView zoomScale="80" zoomScaleNormal="80" workbookViewId="0">
      <selection activeCell="G12" sqref="G12:G13"/>
    </sheetView>
  </sheetViews>
  <sheetFormatPr defaultRowHeight="15" x14ac:dyDescent="0.25"/>
  <cols>
    <col min="1" max="1" width="4.7109375" customWidth="1"/>
    <col min="5" max="5" width="11.7109375" customWidth="1"/>
    <col min="6" max="10" width="11.85546875" customWidth="1"/>
  </cols>
  <sheetData>
    <row r="2" spans="1:10" x14ac:dyDescent="0.25">
      <c r="A2" s="816" t="s">
        <v>1516</v>
      </c>
      <c r="B2" s="813"/>
      <c r="C2" s="813"/>
      <c r="D2" s="813"/>
      <c r="E2" s="813"/>
      <c r="F2" s="817">
        <f>Rozvaha!C1</f>
        <v>2012</v>
      </c>
      <c r="G2" s="817">
        <f>Rozvaha!D1</f>
        <v>2013</v>
      </c>
      <c r="H2" s="817">
        <f>Rozvaha!E1</f>
        <v>2014</v>
      </c>
      <c r="I2" s="817">
        <f>Rozvaha!F1</f>
        <v>2015</v>
      </c>
      <c r="J2" s="817">
        <f>Rozvaha!G1</f>
        <v>2016</v>
      </c>
    </row>
    <row r="3" spans="1:10" x14ac:dyDescent="0.25">
      <c r="A3" s="750" t="s">
        <v>461</v>
      </c>
      <c r="B3" s="750"/>
      <c r="C3" s="750"/>
      <c r="D3" s="750"/>
      <c r="E3" s="750"/>
      <c r="F3" s="37">
        <f>VZZ!C63</f>
        <v>24703</v>
      </c>
      <c r="G3" s="37">
        <f>VZZ!D63</f>
        <v>28960</v>
      </c>
      <c r="H3" s="37">
        <f>VZZ!E63</f>
        <v>12998</v>
      </c>
      <c r="I3" s="37">
        <f>VZZ!F63</f>
        <v>41849</v>
      </c>
      <c r="J3" s="37">
        <f>VZZ!G63</f>
        <v>51968</v>
      </c>
    </row>
    <row r="4" spans="1:10" x14ac:dyDescent="0.25">
      <c r="A4" s="87"/>
      <c r="B4" s="752" t="s">
        <v>462</v>
      </c>
      <c r="C4" s="752"/>
      <c r="D4" s="752"/>
      <c r="E4" s="752"/>
      <c r="F4" s="31">
        <f>VZZ!C58</f>
        <v>0</v>
      </c>
      <c r="G4" s="31">
        <f>VZZ!D58</f>
        <v>0</v>
      </c>
      <c r="H4" s="31">
        <f>VZZ!E58</f>
        <v>0</v>
      </c>
      <c r="I4" s="31">
        <f>VZZ!F58</f>
        <v>0</v>
      </c>
      <c r="J4" s="31">
        <f>VZZ!G58</f>
        <v>0</v>
      </c>
    </row>
    <row r="5" spans="1:10" x14ac:dyDescent="0.25">
      <c r="A5" s="87"/>
      <c r="B5" s="752" t="s">
        <v>463</v>
      </c>
      <c r="C5" s="752"/>
      <c r="D5" s="752"/>
      <c r="E5" s="752"/>
      <c r="F5" s="31">
        <f>VZZ!C52</f>
        <v>5794</v>
      </c>
      <c r="G5" s="31">
        <f>VZZ!D52</f>
        <v>6793</v>
      </c>
      <c r="H5" s="31">
        <f>VZZ!E52</f>
        <v>3049</v>
      </c>
      <c r="I5" s="31">
        <f>VZZ!F52</f>
        <v>9816</v>
      </c>
      <c r="J5" s="31">
        <f>VZZ!G52</f>
        <v>12190</v>
      </c>
    </row>
    <row r="6" spans="1:10" x14ac:dyDescent="0.25">
      <c r="A6" s="750" t="s">
        <v>464</v>
      </c>
      <c r="B6" s="750"/>
      <c r="C6" s="750"/>
      <c r="D6" s="750"/>
      <c r="E6" s="750"/>
      <c r="F6" s="37">
        <f>F3+F4+F5</f>
        <v>30497</v>
      </c>
      <c r="G6" s="37">
        <f t="shared" ref="G6:J6" si="0">G3+G4+G5</f>
        <v>35753</v>
      </c>
      <c r="H6" s="37">
        <f t="shared" si="0"/>
        <v>16047</v>
      </c>
      <c r="I6" s="37">
        <f t="shared" si="0"/>
        <v>51665</v>
      </c>
      <c r="J6" s="37">
        <f t="shared" si="0"/>
        <v>64158</v>
      </c>
    </row>
    <row r="7" spans="1:10" x14ac:dyDescent="0.25">
      <c r="A7" s="87"/>
      <c r="B7" s="752" t="s">
        <v>465</v>
      </c>
      <c r="C7" s="752"/>
      <c r="D7" s="752"/>
      <c r="E7" s="752"/>
      <c r="F7" s="31">
        <f>VZZ!C46</f>
        <v>23068</v>
      </c>
      <c r="G7" s="31">
        <f>VZZ!D46</f>
        <v>23562</v>
      </c>
      <c r="H7" s="31">
        <f>VZZ!E46</f>
        <v>21468</v>
      </c>
      <c r="I7" s="31">
        <f>VZZ!F46</f>
        <v>15658</v>
      </c>
      <c r="J7" s="31">
        <f>VZZ!G46</f>
        <v>10536</v>
      </c>
    </row>
    <row r="8" spans="1:10" x14ac:dyDescent="0.25">
      <c r="A8" s="750" t="s">
        <v>466</v>
      </c>
      <c r="B8" s="750"/>
      <c r="C8" s="750"/>
      <c r="D8" s="750"/>
      <c r="E8" s="750"/>
      <c r="F8" s="37">
        <f>F6+F7</f>
        <v>53565</v>
      </c>
      <c r="G8" s="37">
        <f t="shared" ref="G8:J8" si="1">G6+G7</f>
        <v>59315</v>
      </c>
      <c r="H8" s="37">
        <f t="shared" si="1"/>
        <v>37515</v>
      </c>
      <c r="I8" s="37">
        <f t="shared" si="1"/>
        <v>67323</v>
      </c>
      <c r="J8" s="37">
        <f t="shared" si="1"/>
        <v>74694</v>
      </c>
    </row>
    <row r="9" spans="1:10" x14ac:dyDescent="0.25">
      <c r="A9" s="87"/>
      <c r="B9" s="752" t="s">
        <v>467</v>
      </c>
      <c r="C9" s="752"/>
      <c r="D9" s="752"/>
      <c r="E9" s="752"/>
      <c r="F9" s="31">
        <f>VZZ!C19</f>
        <v>24292</v>
      </c>
      <c r="G9" s="31">
        <f>VZZ!D19</f>
        <v>23096</v>
      </c>
      <c r="H9" s="31">
        <f>VZZ!E19</f>
        <v>35640</v>
      </c>
      <c r="I9" s="31">
        <f>VZZ!F19</f>
        <v>45310</v>
      </c>
      <c r="J9" s="31">
        <f>VZZ!G19</f>
        <v>45372</v>
      </c>
    </row>
    <row r="10" spans="1:10" x14ac:dyDescent="0.25">
      <c r="A10" s="751" t="s">
        <v>468</v>
      </c>
      <c r="B10" s="751"/>
      <c r="C10" s="751"/>
      <c r="D10" s="751"/>
      <c r="E10" s="751"/>
      <c r="F10" s="34">
        <f>F8+F9</f>
        <v>77857</v>
      </c>
      <c r="G10" s="34">
        <f t="shared" ref="G10:J10" si="2">G8+G9</f>
        <v>82411</v>
      </c>
      <c r="H10" s="34">
        <f t="shared" si="2"/>
        <v>73155</v>
      </c>
      <c r="I10" s="34">
        <f t="shared" si="2"/>
        <v>112633</v>
      </c>
      <c r="J10" s="34">
        <f t="shared" si="2"/>
        <v>120066</v>
      </c>
    </row>
  </sheetData>
  <mergeCells count="9">
    <mergeCell ref="A2:E2"/>
    <mergeCell ref="A3:E3"/>
    <mergeCell ref="A6:E6"/>
    <mergeCell ref="A8:E8"/>
    <mergeCell ref="A10:E10"/>
    <mergeCell ref="B4:E4"/>
    <mergeCell ref="B5:E5"/>
    <mergeCell ref="B7:E7"/>
    <mergeCell ref="B9:E9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EA8AC-332B-448E-B25B-7F13D7D07566}">
  <dimension ref="A2:L108"/>
  <sheetViews>
    <sheetView zoomScale="80" zoomScaleNormal="80" workbookViewId="0">
      <selection activeCell="D18" sqref="D18"/>
    </sheetView>
  </sheetViews>
  <sheetFormatPr defaultRowHeight="15" x14ac:dyDescent="0.25"/>
  <cols>
    <col min="1" max="1" width="7.140625" customWidth="1"/>
    <col min="2" max="2" width="20.85546875" customWidth="1"/>
    <col min="4" max="8" width="12.85546875" customWidth="1"/>
    <col min="10" max="10" width="9.140625" customWidth="1"/>
    <col min="11" max="12" width="19.7109375" customWidth="1"/>
  </cols>
  <sheetData>
    <row r="2" spans="1:12" ht="15.75" x14ac:dyDescent="0.25">
      <c r="A2" s="41"/>
      <c r="B2" s="45" t="s">
        <v>364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4" spans="1:12" x14ac:dyDescent="0.25">
      <c r="B4" s="758" t="s">
        <v>369</v>
      </c>
      <c r="C4" s="758"/>
      <c r="D4" s="74">
        <f>Rozvaha!C1</f>
        <v>2012</v>
      </c>
      <c r="E4" s="74">
        <f>Rozvaha!D1</f>
        <v>2013</v>
      </c>
      <c r="F4" s="74">
        <f>Rozvaha!E1</f>
        <v>2014</v>
      </c>
      <c r="G4" s="74">
        <f>Rozvaha!F1</f>
        <v>2015</v>
      </c>
      <c r="H4" s="74">
        <f>Rozvaha!G1</f>
        <v>2016</v>
      </c>
    </row>
    <row r="5" spans="1:12" ht="15" customHeight="1" x14ac:dyDescent="0.25">
      <c r="B5" s="759" t="s">
        <v>367</v>
      </c>
      <c r="C5" s="759"/>
      <c r="D5" s="61">
        <f>VZZ!C55+VZZ!C19</f>
        <v>48995</v>
      </c>
      <c r="E5" s="61">
        <f>VZZ!D55+VZZ!D19</f>
        <v>52056</v>
      </c>
      <c r="F5" s="61">
        <f>VZZ!E55+VZZ!E19</f>
        <v>48638</v>
      </c>
      <c r="G5" s="61">
        <f>VZZ!F55+VZZ!F19</f>
        <v>87159</v>
      </c>
      <c r="H5" s="61">
        <f>VZZ!G55+VZZ!G19</f>
        <v>97340</v>
      </c>
    </row>
    <row r="6" spans="1:12" ht="15.75" thickBot="1" x14ac:dyDescent="0.3">
      <c r="B6" s="759" t="s">
        <v>155</v>
      </c>
      <c r="C6" s="759"/>
      <c r="D6" s="61">
        <f>Rozvaha!C86</f>
        <v>249412</v>
      </c>
      <c r="E6" s="61">
        <f>Rozvaha!D86</f>
        <v>333900</v>
      </c>
      <c r="F6" s="61">
        <f>Rozvaha!E86</f>
        <v>355658</v>
      </c>
      <c r="G6" s="61">
        <f>Rozvaha!F86</f>
        <v>347742</v>
      </c>
      <c r="H6" s="61">
        <f>Rozvaha!G86</f>
        <v>375970</v>
      </c>
    </row>
    <row r="7" spans="1:12" ht="15" customHeight="1" thickBot="1" x14ac:dyDescent="0.3">
      <c r="B7" s="759" t="s">
        <v>316</v>
      </c>
      <c r="C7" s="759"/>
      <c r="D7" s="61">
        <f>Rozvaha!C2</f>
        <v>539585.80000000005</v>
      </c>
      <c r="E7" s="61">
        <f>Rozvaha!D2</f>
        <v>647959</v>
      </c>
      <c r="F7" s="61">
        <f>Rozvaha!E2</f>
        <v>655325</v>
      </c>
      <c r="G7" s="61">
        <f>Rozvaha!F2</f>
        <v>668252</v>
      </c>
      <c r="H7" s="61">
        <f>Rozvaha!G2</f>
        <v>730790</v>
      </c>
      <c r="J7" s="67" t="s">
        <v>381</v>
      </c>
      <c r="K7" s="68" t="s">
        <v>382</v>
      </c>
      <c r="L7" s="68" t="s">
        <v>383</v>
      </c>
    </row>
    <row r="8" spans="1:12" ht="15" customHeight="1" x14ac:dyDescent="0.25">
      <c r="B8" s="759" t="s">
        <v>368</v>
      </c>
      <c r="C8" s="759"/>
      <c r="D8" s="61">
        <f>VZZ!C6+VZZ!C2</f>
        <v>1439502</v>
      </c>
      <c r="E8" s="61">
        <f>VZZ!D6+VZZ!D2</f>
        <v>1766930</v>
      </c>
      <c r="F8" s="61">
        <f>VZZ!E6+VZZ!E2</f>
        <v>1831618</v>
      </c>
      <c r="G8" s="61">
        <f>VZZ!F6+VZZ!F2</f>
        <v>1893492</v>
      </c>
      <c r="H8" s="61">
        <f>VZZ!G6+VZZ!G2</f>
        <v>2054958</v>
      </c>
      <c r="J8" s="753" t="s">
        <v>384</v>
      </c>
      <c r="K8" s="755" t="s">
        <v>385</v>
      </c>
      <c r="L8" s="755" t="s">
        <v>386</v>
      </c>
    </row>
    <row r="9" spans="1:12" ht="15" customHeight="1" thickBot="1" x14ac:dyDescent="0.3">
      <c r="B9" s="759" t="s">
        <v>61</v>
      </c>
      <c r="C9" s="759"/>
      <c r="D9" s="61">
        <f>Rozvaha!C33</f>
        <v>108746.4</v>
      </c>
      <c r="E9" s="61">
        <f>Rozvaha!D33</f>
        <v>137642</v>
      </c>
      <c r="F9" s="61">
        <f>Rozvaha!E33</f>
        <v>138478</v>
      </c>
      <c r="G9" s="61">
        <f>Rozvaha!F33</f>
        <v>141368</v>
      </c>
      <c r="H9" s="61">
        <f>Rozvaha!G33</f>
        <v>146268</v>
      </c>
      <c r="J9" s="754"/>
      <c r="K9" s="756"/>
      <c r="L9" s="756"/>
    </row>
    <row r="10" spans="1:12" ht="15" customHeight="1" x14ac:dyDescent="0.25">
      <c r="B10" s="759" t="s">
        <v>366</v>
      </c>
      <c r="C10" s="759"/>
      <c r="D10" s="61">
        <f>VZZ!C55</f>
        <v>24703</v>
      </c>
      <c r="E10" s="61">
        <f>VZZ!D55</f>
        <v>28960</v>
      </c>
      <c r="F10" s="61">
        <f>VZZ!E55</f>
        <v>12998</v>
      </c>
      <c r="G10" s="61">
        <f>VZZ!F55</f>
        <v>41849</v>
      </c>
      <c r="H10" s="61">
        <f>VZZ!G55</f>
        <v>51968</v>
      </c>
      <c r="J10" s="753" t="s">
        <v>384</v>
      </c>
      <c r="K10" s="755" t="s">
        <v>387</v>
      </c>
      <c r="L10" s="755" t="s">
        <v>386</v>
      </c>
    </row>
    <row r="11" spans="1:12" ht="15.75" customHeight="1" thickBot="1" x14ac:dyDescent="0.3">
      <c r="J11" s="754"/>
      <c r="K11" s="756"/>
      <c r="L11" s="756"/>
    </row>
    <row r="12" spans="1:12" ht="15.75" customHeight="1" thickBot="1" x14ac:dyDescent="0.3">
      <c r="B12" s="64" t="s">
        <v>377</v>
      </c>
      <c r="C12" s="65" t="s">
        <v>378</v>
      </c>
      <c r="D12" s="65"/>
      <c r="E12" s="65"/>
      <c r="F12" s="65"/>
      <c r="G12" s="66"/>
      <c r="J12" s="753" t="s">
        <v>384</v>
      </c>
      <c r="K12" s="755" t="s">
        <v>388</v>
      </c>
      <c r="L12" s="755" t="s">
        <v>386</v>
      </c>
    </row>
    <row r="13" spans="1:12" ht="15.75" thickBot="1" x14ac:dyDescent="0.3">
      <c r="J13" s="754"/>
      <c r="K13" s="756"/>
      <c r="L13" s="756"/>
    </row>
    <row r="14" spans="1:12" ht="15" customHeight="1" x14ac:dyDescent="0.25">
      <c r="A14" s="818" t="s">
        <v>1516</v>
      </c>
      <c r="B14" s="811"/>
      <c r="C14" s="16" t="s">
        <v>379</v>
      </c>
      <c r="D14" s="74">
        <f>Rozvaha!C1</f>
        <v>2012</v>
      </c>
      <c r="E14" s="74">
        <f>Rozvaha!D1</f>
        <v>2013</v>
      </c>
      <c r="F14" s="74">
        <f>Rozvaha!E1</f>
        <v>2014</v>
      </c>
      <c r="G14" s="74">
        <f>Rozvaha!F1</f>
        <v>2015</v>
      </c>
      <c r="H14" s="74">
        <f>Rozvaha!G1</f>
        <v>2016</v>
      </c>
      <c r="J14" s="753" t="s">
        <v>384</v>
      </c>
      <c r="K14" s="755" t="s">
        <v>389</v>
      </c>
      <c r="L14" s="755" t="s">
        <v>390</v>
      </c>
    </row>
    <row r="15" spans="1:12" ht="15" customHeight="1" thickBot="1" x14ac:dyDescent="0.3">
      <c r="A15" s="760" t="s">
        <v>370</v>
      </c>
      <c r="B15" s="760"/>
      <c r="C15" s="70">
        <v>1.5</v>
      </c>
      <c r="D15" s="88">
        <f>D5/D6</f>
        <v>0.19644203165846069</v>
      </c>
      <c r="E15" s="88">
        <f t="shared" ref="E15:H15" si="0">E5/E6</f>
        <v>0.15590296495956874</v>
      </c>
      <c r="F15" s="88">
        <f t="shared" si="0"/>
        <v>0.13675497247355606</v>
      </c>
      <c r="G15" s="88">
        <f t="shared" si="0"/>
        <v>0.25064271787704678</v>
      </c>
      <c r="H15" s="88">
        <f t="shared" si="0"/>
        <v>0.25890363592839855</v>
      </c>
      <c r="J15" s="754"/>
      <c r="K15" s="756"/>
      <c r="L15" s="756"/>
    </row>
    <row r="16" spans="1:12" ht="15" customHeight="1" x14ac:dyDescent="0.25">
      <c r="A16" s="760" t="s">
        <v>371</v>
      </c>
      <c r="B16" s="760"/>
      <c r="C16" s="71">
        <v>0.08</v>
      </c>
      <c r="D16" s="88">
        <f>D7/D6</f>
        <v>2.1634315911022726</v>
      </c>
      <c r="E16" s="88">
        <f t="shared" ref="E16:H16" si="1">E7/E6</f>
        <v>1.9405780173704703</v>
      </c>
      <c r="F16" s="88">
        <f t="shared" si="1"/>
        <v>1.8425706718251804</v>
      </c>
      <c r="G16" s="88">
        <f t="shared" si="1"/>
        <v>1.9216890683322694</v>
      </c>
      <c r="H16" s="88">
        <f t="shared" si="1"/>
        <v>1.9437455116099689</v>
      </c>
      <c r="J16" s="753" t="s">
        <v>384</v>
      </c>
      <c r="K16" s="755" t="s">
        <v>391</v>
      </c>
      <c r="L16" s="755" t="s">
        <v>390</v>
      </c>
    </row>
    <row r="17" spans="1:12" ht="15" customHeight="1" thickBot="1" x14ac:dyDescent="0.3">
      <c r="A17" s="760" t="s">
        <v>372</v>
      </c>
      <c r="B17" s="760"/>
      <c r="C17" s="72">
        <v>10</v>
      </c>
      <c r="D17" s="88">
        <f>D10/D7</f>
        <v>4.5781412335165229E-2</v>
      </c>
      <c r="E17" s="88">
        <f t="shared" ref="E17:H17" si="2">E10/E7</f>
        <v>4.4694185897564506E-2</v>
      </c>
      <c r="F17" s="88">
        <f t="shared" si="2"/>
        <v>1.9834433296455956E-2</v>
      </c>
      <c r="G17" s="88">
        <f t="shared" si="2"/>
        <v>6.2624578751728388E-2</v>
      </c>
      <c r="H17" s="88">
        <f t="shared" si="2"/>
        <v>7.1112084182870586E-2</v>
      </c>
      <c r="J17" s="754"/>
      <c r="K17" s="756"/>
      <c r="L17" s="756"/>
    </row>
    <row r="18" spans="1:12" ht="15" customHeight="1" x14ac:dyDescent="0.25">
      <c r="A18" s="760" t="s">
        <v>373</v>
      </c>
      <c r="B18" s="760"/>
      <c r="C18" s="72">
        <v>5</v>
      </c>
      <c r="D18" s="819">
        <f>IF(D8=0,"x",D10/D8)</f>
        <v>1.7160795886355142E-2</v>
      </c>
      <c r="E18" s="819">
        <f t="shared" ref="E18:H18" si="3">IF(E8=0,"x",E10/E8)</f>
        <v>1.6390009790993417E-2</v>
      </c>
      <c r="F18" s="819">
        <f t="shared" si="3"/>
        <v>7.0964578858692152E-3</v>
      </c>
      <c r="G18" s="819">
        <f t="shared" si="3"/>
        <v>2.2101492903059534E-2</v>
      </c>
      <c r="H18" s="819">
        <f t="shared" si="3"/>
        <v>2.5289081334022398E-2</v>
      </c>
      <c r="J18" s="753" t="s">
        <v>384</v>
      </c>
      <c r="K18" s="755" t="s">
        <v>392</v>
      </c>
      <c r="L18" s="755" t="s">
        <v>390</v>
      </c>
    </row>
    <row r="19" spans="1:12" ht="15.75" thickBot="1" x14ac:dyDescent="0.3">
      <c r="A19" s="760" t="s">
        <v>374</v>
      </c>
      <c r="B19" s="760"/>
      <c r="C19" s="70">
        <v>0.3</v>
      </c>
      <c r="D19" s="819">
        <f>IF(D8=0,"x",D9/D8)</f>
        <v>7.5544459125447549E-2</v>
      </c>
      <c r="E19" s="819">
        <f t="shared" ref="E19:H19" si="4">IF(E8=0,"x",E9/E8)</f>
        <v>7.789895468411312E-2</v>
      </c>
      <c r="F19" s="819">
        <f t="shared" si="4"/>
        <v>7.5604192577273202E-2</v>
      </c>
      <c r="G19" s="819">
        <f t="shared" si="4"/>
        <v>7.465994046977753E-2</v>
      </c>
      <c r="H19" s="819">
        <f t="shared" si="4"/>
        <v>7.1178097070597066E-2</v>
      </c>
      <c r="J19" s="754"/>
      <c r="K19" s="756"/>
      <c r="L19" s="756"/>
    </row>
    <row r="20" spans="1:12" ht="15" customHeight="1" x14ac:dyDescent="0.25">
      <c r="A20" s="760" t="s">
        <v>375</v>
      </c>
      <c r="B20" s="760"/>
      <c r="C20" s="70">
        <v>0.1</v>
      </c>
      <c r="D20" s="88">
        <f>D8/D7</f>
        <v>2.6677907387481286</v>
      </c>
      <c r="E20" s="88">
        <f t="shared" ref="E20:H20" si="5">E8/E7</f>
        <v>2.7269163635353473</v>
      </c>
      <c r="F20" s="88">
        <f t="shared" si="5"/>
        <v>2.7949765383588296</v>
      </c>
      <c r="G20" s="88">
        <f t="shared" si="5"/>
        <v>2.8334999371494587</v>
      </c>
      <c r="H20" s="88">
        <f t="shared" si="5"/>
        <v>2.8119678703868418</v>
      </c>
      <c r="J20" s="753" t="s">
        <v>384</v>
      </c>
      <c r="K20" s="755" t="s">
        <v>393</v>
      </c>
      <c r="L20" s="755" t="s">
        <v>390</v>
      </c>
    </row>
    <row r="21" spans="1:12" ht="15.75" thickBot="1" x14ac:dyDescent="0.3">
      <c r="A21" s="757" t="s">
        <v>376</v>
      </c>
      <c r="B21" s="757"/>
      <c r="C21" s="757"/>
      <c r="D21" s="71">
        <f t="shared" ref="D21:H21" si="6">$C$15*D15+$C$16*D16+$C$17*D17+$C$18*D18+$C$19*D19+$C$20*D20</f>
        <v>1.3007980891717479</v>
      </c>
      <c r="E21" s="71">
        <f t="shared" si="6"/>
        <v>1.2140539195183715</v>
      </c>
      <c r="F21" s="71">
        <f t="shared" si="6"/>
        <v>0.88854364645931905</v>
      </c>
      <c r="G21" s="71">
        <f t="shared" si="6"/>
        <v>1.5722004301706125</v>
      </c>
      <c r="H21" s="71">
        <f t="shared" si="6"/>
        <v>1.6839715594800766</v>
      </c>
      <c r="J21" s="754"/>
      <c r="K21" s="756"/>
      <c r="L21" s="756"/>
    </row>
    <row r="22" spans="1:12" x14ac:dyDescent="0.25">
      <c r="A22" s="762" t="s">
        <v>380</v>
      </c>
      <c r="B22" s="762"/>
      <c r="C22" s="762"/>
      <c r="D22" s="92"/>
      <c r="E22" s="92"/>
      <c r="F22" s="92"/>
      <c r="G22" s="92"/>
      <c r="H22" s="92"/>
    </row>
    <row r="23" spans="1:12" x14ac:dyDescent="0.25">
      <c r="A23" s="762"/>
      <c r="B23" s="762"/>
      <c r="C23" s="762"/>
      <c r="D23" s="92"/>
      <c r="E23" s="92"/>
      <c r="F23" s="92"/>
      <c r="G23" s="92"/>
      <c r="H23" s="92"/>
    </row>
    <row r="27" spans="1:12" ht="15.75" x14ac:dyDescent="0.25">
      <c r="A27" s="41"/>
      <c r="B27" s="45" t="s">
        <v>394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</row>
    <row r="29" spans="1:12" x14ac:dyDescent="0.25">
      <c r="B29" s="759" t="s">
        <v>369</v>
      </c>
      <c r="C29" s="759"/>
      <c r="D29" s="74">
        <f>Rozvaha!C1</f>
        <v>2012</v>
      </c>
      <c r="E29" s="74">
        <f>Rozvaha!D1</f>
        <v>2013</v>
      </c>
      <c r="F29" s="74">
        <f>Rozvaha!E1</f>
        <v>2014</v>
      </c>
      <c r="G29" s="74">
        <f>Rozvaha!F1</f>
        <v>2015</v>
      </c>
      <c r="H29" s="74">
        <f>Rozvaha!G1</f>
        <v>2016</v>
      </c>
    </row>
    <row r="30" spans="1:12" x14ac:dyDescent="0.25">
      <c r="B30" s="760" t="s">
        <v>316</v>
      </c>
      <c r="C30" s="760"/>
      <c r="D30" s="61">
        <f>Rozvaha!C2</f>
        <v>539585.80000000005</v>
      </c>
      <c r="E30" s="61">
        <f>Rozvaha!D2</f>
        <v>647959</v>
      </c>
      <c r="F30" s="61">
        <f>Rozvaha!E2</f>
        <v>655325</v>
      </c>
      <c r="G30" s="61">
        <f>Rozvaha!F2</f>
        <v>668252</v>
      </c>
      <c r="H30" s="61">
        <f>Rozvaha!G2</f>
        <v>730790</v>
      </c>
    </row>
    <row r="31" spans="1:12" x14ac:dyDescent="0.25">
      <c r="B31" s="760" t="s">
        <v>155</v>
      </c>
      <c r="C31" s="760"/>
      <c r="D31" s="61">
        <f>Rozvaha!C86</f>
        <v>249412</v>
      </c>
      <c r="E31" s="61">
        <f>Rozvaha!D86</f>
        <v>333900</v>
      </c>
      <c r="F31" s="61">
        <f>Rozvaha!E86</f>
        <v>355658</v>
      </c>
      <c r="G31" s="61">
        <f>Rozvaha!F86</f>
        <v>347742</v>
      </c>
      <c r="H31" s="61">
        <f>Rozvaha!G86</f>
        <v>375970</v>
      </c>
    </row>
    <row r="32" spans="1:12" x14ac:dyDescent="0.25">
      <c r="B32" s="760" t="s">
        <v>332</v>
      </c>
      <c r="C32" s="760"/>
      <c r="D32" s="40">
        <f>'Poměrové ukazatele'!C11</f>
        <v>53565</v>
      </c>
      <c r="E32" s="40">
        <f>'Poměrové ukazatele'!D11</f>
        <v>59315</v>
      </c>
      <c r="F32" s="40">
        <f>'Poměrové ukazatele'!E11</f>
        <v>37515</v>
      </c>
      <c r="G32" s="40">
        <f>'Poměrové ukazatele'!F11</f>
        <v>67323</v>
      </c>
      <c r="H32" s="40">
        <f>'Poměrové ukazatele'!G11</f>
        <v>74694</v>
      </c>
    </row>
    <row r="33" spans="1:11" x14ac:dyDescent="0.25">
      <c r="B33" s="760" t="s">
        <v>273</v>
      </c>
      <c r="C33" s="760"/>
      <c r="D33" s="20">
        <f>VZZ!C46</f>
        <v>23068</v>
      </c>
      <c r="E33" s="20">
        <f>VZZ!D46</f>
        <v>23562</v>
      </c>
      <c r="F33" s="20">
        <f>VZZ!E46</f>
        <v>21468</v>
      </c>
      <c r="G33" s="20">
        <f>VZZ!F46</f>
        <v>15658</v>
      </c>
      <c r="H33" s="20">
        <f>VZZ!G46</f>
        <v>10536</v>
      </c>
    </row>
    <row r="34" spans="1:11" x14ac:dyDescent="0.25">
      <c r="B34" s="760" t="s">
        <v>398</v>
      </c>
      <c r="C34" s="760"/>
      <c r="D34" s="61">
        <f>VZZ!C5</f>
        <v>0</v>
      </c>
      <c r="E34" s="61">
        <f>VZZ!D5</f>
        <v>0</v>
      </c>
      <c r="F34" s="61">
        <f>VZZ!E5</f>
        <v>0</v>
      </c>
      <c r="G34" s="61">
        <f>VZZ!F5</f>
        <v>0</v>
      </c>
      <c r="H34" s="61">
        <f>VZZ!G5</f>
        <v>0</v>
      </c>
    </row>
    <row r="35" spans="1:11" x14ac:dyDescent="0.25">
      <c r="B35" s="760" t="s">
        <v>59</v>
      </c>
      <c r="C35" s="760"/>
      <c r="D35" s="20">
        <f>Rozvaha!C32</f>
        <v>165317.4</v>
      </c>
      <c r="E35" s="20">
        <f>Rozvaha!D32</f>
        <v>205243</v>
      </c>
      <c r="F35" s="20">
        <f>Rozvaha!E32</f>
        <v>217469</v>
      </c>
      <c r="G35" s="20">
        <f>Rozvaha!F32</f>
        <v>231458</v>
      </c>
      <c r="H35" s="20">
        <f>Rozvaha!G32</f>
        <v>256210</v>
      </c>
    </row>
    <row r="36" spans="1:11" x14ac:dyDescent="0.25">
      <c r="B36" s="760" t="s">
        <v>396</v>
      </c>
      <c r="C36" s="760"/>
      <c r="D36" s="20">
        <f>Rozvaha!C103</f>
        <v>118534</v>
      </c>
      <c r="E36" s="20">
        <f>Rozvaha!D103</f>
        <v>167874</v>
      </c>
      <c r="F36" s="20">
        <f>Rozvaha!E103</f>
        <v>179620</v>
      </c>
      <c r="G36" s="20">
        <f>Rozvaha!F103</f>
        <v>193110</v>
      </c>
      <c r="H36" s="20">
        <f>Rozvaha!G103</f>
        <v>200754</v>
      </c>
    </row>
    <row r="37" spans="1:11" x14ac:dyDescent="0.25">
      <c r="B37" s="760" t="s">
        <v>397</v>
      </c>
      <c r="C37" s="760"/>
      <c r="D37" s="20"/>
      <c r="E37" s="20"/>
      <c r="F37" s="20"/>
      <c r="G37" s="20"/>
      <c r="H37" s="20"/>
    </row>
    <row r="38" spans="1:11" ht="15.75" thickBot="1" x14ac:dyDescent="0.3">
      <c r="B38" s="75"/>
      <c r="C38" s="75"/>
      <c r="D38" s="76"/>
      <c r="E38" s="76"/>
      <c r="F38" s="76"/>
      <c r="G38" s="76"/>
      <c r="H38" s="76"/>
    </row>
    <row r="39" spans="1:11" ht="15.75" thickBot="1" x14ac:dyDescent="0.3">
      <c r="B39" s="77" t="s">
        <v>377</v>
      </c>
      <c r="C39" s="763" t="s">
        <v>404</v>
      </c>
      <c r="D39" s="763"/>
      <c r="E39" s="763"/>
      <c r="F39" s="763"/>
      <c r="G39" s="763"/>
      <c r="H39" s="764"/>
    </row>
    <row r="41" spans="1:11" ht="15.75" thickBot="1" x14ac:dyDescent="0.3">
      <c r="A41" s="818" t="s">
        <v>1516</v>
      </c>
      <c r="B41" s="811"/>
      <c r="C41" s="74" t="s">
        <v>379</v>
      </c>
      <c r="D41" s="74">
        <f>Rozvaha!C1</f>
        <v>2012</v>
      </c>
      <c r="E41" s="74">
        <f>Rozvaha!D1</f>
        <v>2013</v>
      </c>
      <c r="F41" s="74">
        <f>Rozvaha!E1</f>
        <v>2014</v>
      </c>
      <c r="G41" s="74">
        <f>Rozvaha!F1</f>
        <v>2015</v>
      </c>
      <c r="H41" s="74">
        <f>Rozvaha!G1</f>
        <v>2016</v>
      </c>
    </row>
    <row r="42" spans="1:11" ht="15.75" thickBot="1" x14ac:dyDescent="0.3">
      <c r="A42" s="761" t="s">
        <v>399</v>
      </c>
      <c r="B42" s="761"/>
      <c r="C42" s="73">
        <v>2.1999999999999999E-2</v>
      </c>
      <c r="D42" s="88">
        <f>D30/D31</f>
        <v>2.1634315911022726</v>
      </c>
      <c r="E42" s="88">
        <f t="shared" ref="E42:H42" si="7">E30/E31</f>
        <v>1.9405780173704703</v>
      </c>
      <c r="F42" s="88">
        <f t="shared" si="7"/>
        <v>1.8425706718251804</v>
      </c>
      <c r="G42" s="88">
        <f t="shared" si="7"/>
        <v>1.9216890683322694</v>
      </c>
      <c r="H42" s="88">
        <f t="shared" si="7"/>
        <v>1.9437455116099689</v>
      </c>
      <c r="J42" s="67" t="s">
        <v>381</v>
      </c>
      <c r="K42" s="68" t="s">
        <v>382</v>
      </c>
    </row>
    <row r="43" spans="1:11" x14ac:dyDescent="0.25">
      <c r="A43" s="761" t="s">
        <v>400</v>
      </c>
      <c r="B43" s="761"/>
      <c r="C43" s="71">
        <v>0.11</v>
      </c>
      <c r="D43" s="88">
        <f>D32/D31</f>
        <v>0.21476512758006833</v>
      </c>
      <c r="E43" s="88">
        <f t="shared" ref="E43:H43" si="8">E32/E31</f>
        <v>0.17764300688828991</v>
      </c>
      <c r="F43" s="88">
        <f t="shared" si="8"/>
        <v>0.10548054591770746</v>
      </c>
      <c r="G43" s="88">
        <f t="shared" si="8"/>
        <v>0.19360042790344567</v>
      </c>
      <c r="H43" s="88">
        <f t="shared" si="8"/>
        <v>0.19867010665744608</v>
      </c>
      <c r="J43" s="78" t="s">
        <v>405</v>
      </c>
      <c r="K43" s="765" t="s">
        <v>406</v>
      </c>
    </row>
    <row r="44" spans="1:11" ht="15.75" thickBot="1" x14ac:dyDescent="0.3">
      <c r="A44" s="761" t="s">
        <v>401</v>
      </c>
      <c r="B44" s="761"/>
      <c r="C44" s="71">
        <v>8.33</v>
      </c>
      <c r="D44" s="88">
        <f>D35/D32</f>
        <v>3.0862951554186502</v>
      </c>
      <c r="E44" s="88">
        <f t="shared" ref="E44:H44" si="9">E35/E32</f>
        <v>3.4602208547584929</v>
      </c>
      <c r="F44" s="88">
        <f t="shared" si="9"/>
        <v>5.7968545914967349</v>
      </c>
      <c r="G44" s="88">
        <f t="shared" si="9"/>
        <v>3.4380226668449119</v>
      </c>
      <c r="H44" s="88">
        <f t="shared" si="9"/>
        <v>3.4301282566203444</v>
      </c>
      <c r="J44" s="79"/>
      <c r="K44" s="766"/>
    </row>
    <row r="45" spans="1:11" x14ac:dyDescent="0.25">
      <c r="A45" s="761" t="s">
        <v>375</v>
      </c>
      <c r="B45" s="761"/>
      <c r="C45" s="71">
        <v>0.52</v>
      </c>
      <c r="D45" s="88">
        <f>D35/D33</f>
        <v>7.1665250563551242</v>
      </c>
      <c r="E45" s="88">
        <f t="shared" ref="E45:H45" si="10">E35/E33</f>
        <v>8.710763093116034</v>
      </c>
      <c r="F45" s="88">
        <f t="shared" si="10"/>
        <v>10.129914291037824</v>
      </c>
      <c r="G45" s="88">
        <f t="shared" si="10"/>
        <v>14.782092221228766</v>
      </c>
      <c r="H45" s="88">
        <f t="shared" si="10"/>
        <v>24.317577828397873</v>
      </c>
      <c r="J45" s="753" t="s">
        <v>405</v>
      </c>
      <c r="K45" s="765" t="s">
        <v>407</v>
      </c>
    </row>
    <row r="46" spans="1:11" ht="15.75" thickBot="1" x14ac:dyDescent="0.3">
      <c r="A46" s="761" t="s">
        <v>402</v>
      </c>
      <c r="B46" s="761"/>
      <c r="C46" s="71">
        <v>0.1</v>
      </c>
      <c r="D46" s="88">
        <f>D34/D33</f>
        <v>0</v>
      </c>
      <c r="E46" s="88">
        <f t="shared" ref="E46:H46" si="11">E34/E33</f>
        <v>0</v>
      </c>
      <c r="F46" s="88">
        <f t="shared" si="11"/>
        <v>0</v>
      </c>
      <c r="G46" s="88">
        <f t="shared" si="11"/>
        <v>0</v>
      </c>
      <c r="H46" s="88">
        <f t="shared" si="11"/>
        <v>0</v>
      </c>
      <c r="J46" s="754"/>
      <c r="K46" s="766"/>
    </row>
    <row r="47" spans="1:11" x14ac:dyDescent="0.25">
      <c r="A47" s="761" t="s">
        <v>403</v>
      </c>
      <c r="B47" s="761"/>
      <c r="C47" s="71">
        <v>-16.8</v>
      </c>
      <c r="D47" s="88">
        <f>D33/D32</f>
        <v>0.43065434518808926</v>
      </c>
      <c r="E47" s="88">
        <f t="shared" ref="E47:H47" si="12">E33/E32</f>
        <v>0.39723510073337265</v>
      </c>
      <c r="F47" s="88">
        <f t="shared" si="12"/>
        <v>0.57225109956017595</v>
      </c>
      <c r="G47" s="88">
        <f t="shared" si="12"/>
        <v>0.23258024746371969</v>
      </c>
      <c r="H47" s="88">
        <f t="shared" si="12"/>
        <v>0.14105550646638285</v>
      </c>
      <c r="J47" s="753" t="s">
        <v>405</v>
      </c>
      <c r="K47" s="765" t="s">
        <v>408</v>
      </c>
    </row>
    <row r="48" spans="1:11" ht="15.75" thickBot="1" x14ac:dyDescent="0.3">
      <c r="A48" s="757" t="s">
        <v>411</v>
      </c>
      <c r="B48" s="757"/>
      <c r="C48" s="757"/>
      <c r="D48" s="71">
        <f>$C42*D42+$C$43*D43+$C$44*D44+$C$45*D45+$C$46*D46+$C$47*D47</f>
        <v>22.271658333820177</v>
      </c>
      <c r="E48" s="71">
        <f t="shared" ref="E48:H48" si="13">$C42*E42+$C$43*E43+$C$44*E44+$C$45*E45+$C$46*E46+$C$47*E47</f>
        <v>26.741920283377787</v>
      </c>
      <c r="F48" s="71">
        <f t="shared" si="13"/>
        <v>43.993675120727616</v>
      </c>
      <c r="G48" s="71">
        <f t="shared" si="13"/>
        <v>32.481641819039268</v>
      </c>
      <c r="H48" s="71">
        <f t="shared" si="13"/>
        <v>38.912992452766872</v>
      </c>
      <c r="J48" s="754"/>
      <c r="K48" s="766"/>
    </row>
    <row r="49" spans="1:12" x14ac:dyDescent="0.25">
      <c r="A49" s="762" t="s">
        <v>380</v>
      </c>
      <c r="B49" s="762"/>
      <c r="C49" s="762"/>
      <c r="D49" s="92"/>
      <c r="E49" s="92"/>
      <c r="F49" s="92"/>
      <c r="G49" s="92"/>
      <c r="H49" s="92"/>
    </row>
    <row r="50" spans="1:12" x14ac:dyDescent="0.25">
      <c r="A50" s="762"/>
      <c r="B50" s="762"/>
      <c r="C50" s="762"/>
      <c r="D50" s="92"/>
      <c r="E50" s="92"/>
      <c r="F50" s="92"/>
      <c r="G50" s="92"/>
      <c r="H50" s="92"/>
    </row>
    <row r="52" spans="1:12" ht="16.5" thickBot="1" x14ac:dyDescent="0.3">
      <c r="A52" s="41"/>
      <c r="B52" s="45" t="s">
        <v>409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</row>
    <row r="53" spans="1:12" ht="15.75" thickBot="1" x14ac:dyDescent="0.3">
      <c r="J53" s="67" t="s">
        <v>381</v>
      </c>
      <c r="K53" s="68" t="s">
        <v>382</v>
      </c>
    </row>
    <row r="54" spans="1:12" x14ac:dyDescent="0.25">
      <c r="A54" s="818" t="s">
        <v>1516</v>
      </c>
      <c r="B54" s="811"/>
      <c r="C54" s="74" t="s">
        <v>379</v>
      </c>
      <c r="D54" s="74">
        <f>Rozvaha!C1</f>
        <v>2012</v>
      </c>
      <c r="E54" s="74">
        <f>Rozvaha!D1</f>
        <v>2013</v>
      </c>
      <c r="F54" s="74">
        <f>Rozvaha!E1</f>
        <v>2014</v>
      </c>
      <c r="G54" s="74">
        <f>Rozvaha!F1</f>
        <v>2015</v>
      </c>
      <c r="H54" s="74">
        <f>Rozvaha!G1</f>
        <v>2016</v>
      </c>
      <c r="I54" s="5"/>
      <c r="J54" s="753" t="s">
        <v>422</v>
      </c>
      <c r="K54" s="767" t="s">
        <v>423</v>
      </c>
    </row>
    <row r="55" spans="1:12" ht="15.75" thickBot="1" x14ac:dyDescent="0.3">
      <c r="A55" s="761" t="s">
        <v>399</v>
      </c>
      <c r="B55" s="761"/>
      <c r="C55" s="73">
        <v>-1.7000000000000001E-2</v>
      </c>
      <c r="D55" s="88">
        <f>D30/D31</f>
        <v>2.1634315911022726</v>
      </c>
      <c r="E55" s="88">
        <f t="shared" ref="E55:H55" si="14">E30/E31</f>
        <v>1.9405780173704703</v>
      </c>
      <c r="F55" s="88">
        <f t="shared" si="14"/>
        <v>1.8425706718251804</v>
      </c>
      <c r="G55" s="88">
        <f t="shared" si="14"/>
        <v>1.9216890683322694</v>
      </c>
      <c r="H55" s="88">
        <f t="shared" si="14"/>
        <v>1.9437455116099689</v>
      </c>
      <c r="J55" s="754"/>
      <c r="K55" s="768"/>
    </row>
    <row r="56" spans="1:12" x14ac:dyDescent="0.25">
      <c r="A56" s="761" t="s">
        <v>401</v>
      </c>
      <c r="B56" s="761"/>
      <c r="C56" s="73">
        <v>4.5730000000000004</v>
      </c>
      <c r="D56" s="88">
        <f>D32/D30</f>
        <v>9.9270588662637146E-2</v>
      </c>
      <c r="E56" s="88">
        <f t="shared" ref="E56:H56" si="15">E32/E30</f>
        <v>9.1541285791230623E-2</v>
      </c>
      <c r="F56" s="88">
        <f t="shared" si="15"/>
        <v>5.7246404455804374E-2</v>
      </c>
      <c r="G56" s="88">
        <f t="shared" si="15"/>
        <v>0.10074492855988459</v>
      </c>
      <c r="H56" s="88">
        <f t="shared" si="15"/>
        <v>0.10220993719125877</v>
      </c>
      <c r="J56" s="753" t="s">
        <v>422</v>
      </c>
      <c r="K56" s="767" t="s">
        <v>424</v>
      </c>
    </row>
    <row r="57" spans="1:12" ht="15" customHeight="1" thickBot="1" x14ac:dyDescent="0.3">
      <c r="A57" s="761" t="s">
        <v>375</v>
      </c>
      <c r="B57" s="761"/>
      <c r="C57" s="73">
        <v>0.48099999999999998</v>
      </c>
      <c r="D57" s="88">
        <f>D34/D30</f>
        <v>0</v>
      </c>
      <c r="E57" s="88">
        <f t="shared" ref="E57:H57" si="16">E34/E30</f>
        <v>0</v>
      </c>
      <c r="F57" s="88">
        <f t="shared" si="16"/>
        <v>0</v>
      </c>
      <c r="G57" s="88">
        <f t="shared" si="16"/>
        <v>0</v>
      </c>
      <c r="H57" s="88">
        <f t="shared" si="16"/>
        <v>0</v>
      </c>
      <c r="J57" s="754"/>
      <c r="K57" s="768"/>
    </row>
    <row r="58" spans="1:12" x14ac:dyDescent="0.25">
      <c r="A58" s="761" t="s">
        <v>402</v>
      </c>
      <c r="B58" s="761"/>
      <c r="C58" s="73">
        <v>1.4999999999999999E-2</v>
      </c>
      <c r="D58" s="88">
        <f>D35/D36</f>
        <v>1.3946833819832285</v>
      </c>
      <c r="E58" s="88">
        <f t="shared" ref="E58:H58" si="17">E35/E36</f>
        <v>1.2226014749157106</v>
      </c>
      <c r="F58" s="88">
        <f t="shared" si="17"/>
        <v>1.2107170693686671</v>
      </c>
      <c r="G58" s="88">
        <f t="shared" si="17"/>
        <v>1.1985811195691576</v>
      </c>
      <c r="H58" s="88">
        <f t="shared" si="17"/>
        <v>1.2762385805513214</v>
      </c>
      <c r="J58" s="753" t="s">
        <v>422</v>
      </c>
      <c r="K58" s="767" t="s">
        <v>407</v>
      </c>
    </row>
    <row r="59" spans="1:12" ht="15.75" thickBot="1" x14ac:dyDescent="0.3">
      <c r="A59" s="757" t="s">
        <v>410</v>
      </c>
      <c r="B59" s="757"/>
      <c r="C59" s="757"/>
      <c r="D59" s="71">
        <f>$C$55*D55+$C$56*D56+$C$57*D57+$C$58*D58</f>
        <v>0.43810631563524949</v>
      </c>
      <c r="E59" s="71">
        <f t="shared" ref="E59:H59" si="18">$C$55*E55+$C$56*E56+$C$57*E57+$C$58*E58</f>
        <v>0.40396749575173535</v>
      </c>
      <c r="F59" s="71">
        <f t="shared" si="18"/>
        <v>0.24862486219589533</v>
      </c>
      <c r="G59" s="71">
        <f t="shared" si="18"/>
        <v>0.44601656093624109</v>
      </c>
      <c r="H59" s="71">
        <f t="shared" si="18"/>
        <v>0.45350594778652675</v>
      </c>
      <c r="J59" s="754"/>
      <c r="K59" s="768"/>
    </row>
    <row r="60" spans="1:12" ht="15" customHeight="1" x14ac:dyDescent="0.25">
      <c r="A60" s="762" t="s">
        <v>380</v>
      </c>
      <c r="B60" s="762"/>
      <c r="C60" s="762"/>
      <c r="D60" s="771"/>
      <c r="E60" s="771"/>
      <c r="F60" s="771"/>
      <c r="G60" s="771"/>
      <c r="H60" s="771"/>
      <c r="J60" s="753" t="s">
        <v>422</v>
      </c>
      <c r="K60" s="767" t="s">
        <v>425</v>
      </c>
    </row>
    <row r="61" spans="1:12" ht="15" customHeight="1" thickBot="1" x14ac:dyDescent="0.3">
      <c r="A61" s="762"/>
      <c r="B61" s="762"/>
      <c r="C61" s="762"/>
      <c r="D61" s="771"/>
      <c r="E61" s="771"/>
      <c r="F61" s="771"/>
      <c r="G61" s="771"/>
      <c r="H61" s="771"/>
      <c r="J61" s="754"/>
      <c r="K61" s="768"/>
    </row>
    <row r="62" spans="1:12" ht="15" customHeight="1" x14ac:dyDescent="0.25">
      <c r="A62" s="81"/>
      <c r="B62" s="81"/>
      <c r="C62" s="81"/>
      <c r="D62" s="82"/>
      <c r="E62" s="83"/>
      <c r="F62" s="83"/>
      <c r="G62" s="83"/>
      <c r="H62" s="83"/>
      <c r="J62" s="753" t="s">
        <v>422</v>
      </c>
      <c r="K62" s="767" t="s">
        <v>426</v>
      </c>
    </row>
    <row r="63" spans="1:12" ht="15.75" thickBot="1" x14ac:dyDescent="0.3">
      <c r="J63" s="754"/>
      <c r="K63" s="768"/>
    </row>
    <row r="65" spans="1:12" ht="15.75" x14ac:dyDescent="0.25">
      <c r="A65" s="41"/>
      <c r="B65" s="45" t="s">
        <v>412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</row>
    <row r="67" spans="1:12" x14ac:dyDescent="0.25">
      <c r="B67" s="759" t="s">
        <v>369</v>
      </c>
      <c r="C67" s="759"/>
      <c r="D67" s="74">
        <f>Rozvaha!C1</f>
        <v>2012</v>
      </c>
      <c r="E67" s="74">
        <f>Rozvaha!D1</f>
        <v>2013</v>
      </c>
      <c r="F67" s="74">
        <f>Rozvaha!E1</f>
        <v>2014</v>
      </c>
      <c r="G67" s="74">
        <f>Rozvaha!F1</f>
        <v>2015</v>
      </c>
      <c r="H67" s="74">
        <f>Rozvaha!G1</f>
        <v>2016</v>
      </c>
    </row>
    <row r="68" spans="1:12" x14ac:dyDescent="0.25">
      <c r="B68" s="760" t="s">
        <v>332</v>
      </c>
      <c r="C68" s="760"/>
      <c r="D68" s="40">
        <f>'Poměrové ukazatele'!C11</f>
        <v>53565</v>
      </c>
      <c r="E68" s="40">
        <f>'Poměrové ukazatele'!D11</f>
        <v>59315</v>
      </c>
      <c r="F68" s="40">
        <f>'Poměrové ukazatele'!E11</f>
        <v>37515</v>
      </c>
      <c r="G68" s="40">
        <f>'Poměrové ukazatele'!F11</f>
        <v>67323</v>
      </c>
      <c r="H68" s="40">
        <f>'Poměrové ukazatele'!G11</f>
        <v>74694</v>
      </c>
    </row>
    <row r="69" spans="1:12" x14ac:dyDescent="0.25">
      <c r="B69" s="760" t="s">
        <v>413</v>
      </c>
      <c r="C69" s="760"/>
      <c r="D69" s="61">
        <f>Rozvaha!C103</f>
        <v>118534</v>
      </c>
      <c r="E69" s="61">
        <f>Rozvaha!D103</f>
        <v>167874</v>
      </c>
      <c r="F69" s="61">
        <f>Rozvaha!E103</f>
        <v>179620</v>
      </c>
      <c r="G69" s="61">
        <f>Rozvaha!F103</f>
        <v>193110</v>
      </c>
      <c r="H69" s="61">
        <f>Rozvaha!G103</f>
        <v>200754</v>
      </c>
    </row>
    <row r="70" spans="1:12" x14ac:dyDescent="0.25">
      <c r="B70" s="760" t="s">
        <v>395</v>
      </c>
      <c r="C70" s="760"/>
      <c r="D70" s="40">
        <f>Rozvaha!C32</f>
        <v>165317.4</v>
      </c>
      <c r="E70" s="40">
        <f>Rozvaha!D32</f>
        <v>205243</v>
      </c>
      <c r="F70" s="40">
        <f>Rozvaha!E32</f>
        <v>217469</v>
      </c>
      <c r="G70" s="40">
        <f>Rozvaha!F32</f>
        <v>231458</v>
      </c>
      <c r="H70" s="40">
        <f>Rozvaha!G32</f>
        <v>256210</v>
      </c>
    </row>
    <row r="71" spans="1:12" ht="15.75" thickBot="1" x14ac:dyDescent="0.3">
      <c r="B71" s="760" t="s">
        <v>414</v>
      </c>
      <c r="C71" s="760"/>
      <c r="D71" s="61">
        <f>Rozvaha!C86</f>
        <v>249412</v>
      </c>
      <c r="E71" s="61">
        <f>Rozvaha!D86</f>
        <v>333900</v>
      </c>
      <c r="F71" s="61">
        <f>Rozvaha!E86</f>
        <v>355658</v>
      </c>
      <c r="G71" s="61">
        <f>Rozvaha!F86</f>
        <v>347742</v>
      </c>
      <c r="H71" s="61">
        <f>Rozvaha!G86</f>
        <v>375970</v>
      </c>
    </row>
    <row r="72" spans="1:12" ht="15.75" thickBot="1" x14ac:dyDescent="0.3">
      <c r="B72" s="760" t="s">
        <v>365</v>
      </c>
      <c r="C72" s="760"/>
      <c r="D72" s="61">
        <f>Rozvaha!C86</f>
        <v>249412</v>
      </c>
      <c r="E72" s="61">
        <f t="shared" ref="E72:H72" si="19">E30</f>
        <v>647959</v>
      </c>
      <c r="F72" s="61">
        <f t="shared" si="19"/>
        <v>655325</v>
      </c>
      <c r="G72" s="61">
        <f t="shared" si="19"/>
        <v>668252</v>
      </c>
      <c r="H72" s="61">
        <f t="shared" si="19"/>
        <v>730790</v>
      </c>
      <c r="J72" s="67" t="s">
        <v>381</v>
      </c>
      <c r="K72" s="68" t="s">
        <v>382</v>
      </c>
    </row>
    <row r="73" spans="1:12" x14ac:dyDescent="0.25">
      <c r="B73" s="760" t="s">
        <v>415</v>
      </c>
      <c r="C73" s="760"/>
      <c r="D73" s="61">
        <f>VZZ!C5</f>
        <v>0</v>
      </c>
      <c r="E73" s="40">
        <f t="shared" ref="E73:H73" si="20">E34</f>
        <v>0</v>
      </c>
      <c r="F73" s="40">
        <f t="shared" si="20"/>
        <v>0</v>
      </c>
      <c r="G73" s="40">
        <f t="shared" si="20"/>
        <v>0</v>
      </c>
      <c r="H73" s="40">
        <f t="shared" si="20"/>
        <v>0</v>
      </c>
      <c r="J73" s="753" t="s">
        <v>421</v>
      </c>
      <c r="K73" s="769" t="s">
        <v>406</v>
      </c>
    </row>
    <row r="74" spans="1:12" ht="15.75" thickBot="1" x14ac:dyDescent="0.3">
      <c r="J74" s="754"/>
      <c r="K74" s="770"/>
    </row>
    <row r="75" spans="1:12" x14ac:dyDescent="0.25">
      <c r="A75" s="818" t="s">
        <v>1516</v>
      </c>
      <c r="B75" s="811"/>
      <c r="C75" s="74" t="s">
        <v>379</v>
      </c>
      <c r="D75" s="74">
        <f>Rozvaha!C1</f>
        <v>2012</v>
      </c>
      <c r="E75" s="74">
        <f>Rozvaha!D1</f>
        <v>2013</v>
      </c>
      <c r="F75" s="74">
        <f>Rozvaha!E1</f>
        <v>2014</v>
      </c>
      <c r="G75" s="74">
        <f>Rozvaha!F1</f>
        <v>2015</v>
      </c>
      <c r="H75" s="74">
        <f>Rozvaha!G1</f>
        <v>2016</v>
      </c>
      <c r="J75" s="753" t="s">
        <v>421</v>
      </c>
      <c r="K75" s="769" t="s">
        <v>407</v>
      </c>
    </row>
    <row r="76" spans="1:12" ht="15.75" thickBot="1" x14ac:dyDescent="0.3">
      <c r="A76" s="759" t="s">
        <v>419</v>
      </c>
      <c r="B76" s="759"/>
      <c r="C76" s="80">
        <v>0.53</v>
      </c>
      <c r="D76" s="88">
        <f>D68/D69</f>
        <v>0.45189565862959152</v>
      </c>
      <c r="E76" s="88">
        <f t="shared" ref="E76:H76" si="21">E68/E69</f>
        <v>0.3533304740460107</v>
      </c>
      <c r="F76" s="88">
        <f t="shared" si="21"/>
        <v>0.20885758824184389</v>
      </c>
      <c r="G76" s="88">
        <f t="shared" si="21"/>
        <v>0.34862513593288796</v>
      </c>
      <c r="H76" s="88">
        <f t="shared" si="21"/>
        <v>0.37206730625541706</v>
      </c>
      <c r="J76" s="754"/>
      <c r="K76" s="770"/>
    </row>
    <row r="77" spans="1:12" x14ac:dyDescent="0.25">
      <c r="A77" s="760" t="s">
        <v>420</v>
      </c>
      <c r="B77" s="760"/>
      <c r="C77" s="63">
        <v>0.13</v>
      </c>
      <c r="D77" s="88">
        <f>D70/D71</f>
        <v>0.66282857280323315</v>
      </c>
      <c r="E77" s="88">
        <f t="shared" ref="E77:H77" si="22">E70/E71</f>
        <v>0.61468403713686737</v>
      </c>
      <c r="F77" s="88">
        <f t="shared" si="22"/>
        <v>0.61145538691664469</v>
      </c>
      <c r="G77" s="88">
        <f t="shared" si="22"/>
        <v>0.6656026594429203</v>
      </c>
      <c r="H77" s="88">
        <f t="shared" si="22"/>
        <v>0.68146394659148335</v>
      </c>
      <c r="J77" s="753" t="s">
        <v>421</v>
      </c>
      <c r="K77" s="769" t="s">
        <v>408</v>
      </c>
    </row>
    <row r="78" spans="1:12" ht="15.75" thickBot="1" x14ac:dyDescent="0.3">
      <c r="A78" s="760" t="s">
        <v>417</v>
      </c>
      <c r="B78" s="760"/>
      <c r="C78" s="63">
        <v>0.18</v>
      </c>
      <c r="D78" s="88">
        <f>D69/D72</f>
        <v>0.47525379693038028</v>
      </c>
      <c r="E78" s="88">
        <f t="shared" ref="E78:H78" si="23">E69/E72</f>
        <v>0.25908120729860995</v>
      </c>
      <c r="F78" s="88">
        <f t="shared" si="23"/>
        <v>0.27409300728646091</v>
      </c>
      <c r="G78" s="88">
        <f t="shared" si="23"/>
        <v>0.28897781076599843</v>
      </c>
      <c r="H78" s="88">
        <f t="shared" si="23"/>
        <v>0.27470819250400252</v>
      </c>
      <c r="J78" s="754"/>
      <c r="K78" s="770"/>
    </row>
    <row r="79" spans="1:12" x14ac:dyDescent="0.25">
      <c r="A79" s="760" t="s">
        <v>418</v>
      </c>
      <c r="B79" s="760"/>
      <c r="C79" s="63">
        <v>0.16</v>
      </c>
      <c r="D79" s="88">
        <f>D73/D72</f>
        <v>0</v>
      </c>
      <c r="E79" s="88">
        <f t="shared" ref="E79:H79" si="24">E73/E72</f>
        <v>0</v>
      </c>
      <c r="F79" s="88">
        <f t="shared" si="24"/>
        <v>0</v>
      </c>
      <c r="G79" s="88">
        <f t="shared" si="24"/>
        <v>0</v>
      </c>
      <c r="H79" s="88">
        <f t="shared" si="24"/>
        <v>0</v>
      </c>
    </row>
    <row r="80" spans="1:12" x14ac:dyDescent="0.25">
      <c r="A80" s="757" t="s">
        <v>416</v>
      </c>
      <c r="B80" s="757"/>
      <c r="C80" s="757"/>
      <c r="D80" s="89">
        <f>$C$76*D76+$C$77*D77+$C$78*D78+$C$79*D79</f>
        <v>0.41121809698557227</v>
      </c>
      <c r="E80" s="89">
        <f t="shared" ref="E80:H80" si="25">$C$76*E76+$C$77*E77+$C$78*E78+$C$79*E79</f>
        <v>0.31380869338592821</v>
      </c>
      <c r="F80" s="89">
        <f t="shared" si="25"/>
        <v>0.23952046337890404</v>
      </c>
      <c r="G80" s="89">
        <f t="shared" si="25"/>
        <v>0.32331567370989001</v>
      </c>
      <c r="H80" s="89">
        <f t="shared" si="25"/>
        <v>0.33523346002298438</v>
      </c>
    </row>
    <row r="81" spans="1:12" x14ac:dyDescent="0.25">
      <c r="A81" s="762" t="s">
        <v>380</v>
      </c>
      <c r="B81" s="762"/>
      <c r="C81" s="762"/>
      <c r="D81" s="90"/>
      <c r="E81" s="90"/>
      <c r="F81" s="90"/>
      <c r="G81" s="90"/>
      <c r="H81" s="90"/>
    </row>
    <row r="84" spans="1:12" ht="15.75" x14ac:dyDescent="0.25">
      <c r="A84" s="41"/>
      <c r="B84" s="45" t="s">
        <v>435</v>
      </c>
      <c r="C84" s="41"/>
      <c r="D84" s="41"/>
      <c r="E84" s="41"/>
      <c r="F84" s="41"/>
      <c r="G84" s="41"/>
      <c r="H84" s="41"/>
      <c r="I84" s="41"/>
      <c r="J84" s="41"/>
      <c r="K84" s="41"/>
      <c r="L84" s="41"/>
    </row>
    <row r="86" spans="1:12" x14ac:dyDescent="0.25">
      <c r="B86" s="760" t="s">
        <v>427</v>
      </c>
      <c r="C86" s="760"/>
      <c r="D86" s="74">
        <f>Rozvaha!C1</f>
        <v>2012</v>
      </c>
      <c r="E86" s="74">
        <f>Rozvaha!D1</f>
        <v>2013</v>
      </c>
      <c r="F86" s="74">
        <f>Rozvaha!E1</f>
        <v>2014</v>
      </c>
      <c r="G86" s="74">
        <f>Rozvaha!F1</f>
        <v>2015</v>
      </c>
      <c r="H86" s="74">
        <f>Rozvaha!G1</f>
        <v>2016</v>
      </c>
    </row>
    <row r="87" spans="1:12" x14ac:dyDescent="0.25">
      <c r="B87" s="760" t="s">
        <v>332</v>
      </c>
      <c r="C87" s="760"/>
      <c r="D87" s="40">
        <f>'Poměrové ukazatele'!C11</f>
        <v>53565</v>
      </c>
      <c r="E87" s="40">
        <f>'Poměrové ukazatele'!D11</f>
        <v>59315</v>
      </c>
      <c r="F87" s="40">
        <f>'Poměrové ukazatele'!E11</f>
        <v>37515</v>
      </c>
      <c r="G87" s="40">
        <f>'Poměrové ukazatele'!F11</f>
        <v>67323</v>
      </c>
      <c r="H87" s="40">
        <f>'Poměrové ukazatele'!G11</f>
        <v>74694</v>
      </c>
    </row>
    <row r="88" spans="1:12" x14ac:dyDescent="0.25">
      <c r="B88" s="760" t="s">
        <v>316</v>
      </c>
      <c r="C88" s="760"/>
      <c r="D88" s="61">
        <f>Rozvaha!C86</f>
        <v>249412</v>
      </c>
      <c r="E88" s="61">
        <f>Rozvaha!D86</f>
        <v>333900</v>
      </c>
      <c r="F88" s="61">
        <f>Rozvaha!E86</f>
        <v>355658</v>
      </c>
      <c r="G88" s="61">
        <f>Rozvaha!F86</f>
        <v>347742</v>
      </c>
      <c r="H88" s="61">
        <f>Rozvaha!G86</f>
        <v>375970</v>
      </c>
    </row>
    <row r="89" spans="1:12" x14ac:dyDescent="0.25">
      <c r="B89" s="760" t="s">
        <v>428</v>
      </c>
      <c r="C89" s="760"/>
      <c r="D89" s="61">
        <f>VZZ!C5</f>
        <v>0</v>
      </c>
      <c r="E89" s="61">
        <f>VZZ!D5</f>
        <v>0</v>
      </c>
      <c r="F89" s="61">
        <f>VZZ!E5</f>
        <v>0</v>
      </c>
      <c r="G89" s="61">
        <f>VZZ!F5</f>
        <v>0</v>
      </c>
      <c r="H89" s="61">
        <f>VZZ!G5</f>
        <v>0</v>
      </c>
    </row>
    <row r="90" spans="1:12" x14ac:dyDescent="0.25">
      <c r="B90" s="760" t="s">
        <v>123</v>
      </c>
      <c r="C90" s="760"/>
      <c r="D90" s="61">
        <f>Rozvaha!C69</f>
        <v>260130</v>
      </c>
      <c r="E90" s="61">
        <f>Rozvaha!D69</f>
        <v>279089</v>
      </c>
      <c r="F90" s="61">
        <f>Rozvaha!E69</f>
        <v>280087</v>
      </c>
      <c r="G90" s="61">
        <f>Rozvaha!F69</f>
        <v>306936</v>
      </c>
      <c r="H90" s="61">
        <f>Rozvaha!G69</f>
        <v>342904</v>
      </c>
    </row>
    <row r="91" spans="1:12" x14ac:dyDescent="0.25">
      <c r="B91" s="760" t="s">
        <v>429</v>
      </c>
      <c r="C91" s="760"/>
      <c r="D91" s="61">
        <f>Rozvaha!C92+Rozvaha!C103</f>
        <v>133072</v>
      </c>
      <c r="E91" s="61">
        <f>Rozvaha!D92+Rozvaha!D103</f>
        <v>207340</v>
      </c>
      <c r="F91" s="61">
        <f>Rozvaha!E92+Rozvaha!E103</f>
        <v>215512</v>
      </c>
      <c r="G91" s="61">
        <f>Rozvaha!F92+Rozvaha!F103</f>
        <v>213840</v>
      </c>
      <c r="H91" s="61">
        <f>Rozvaha!G92+Rozvaha!G103</f>
        <v>213524</v>
      </c>
    </row>
    <row r="92" spans="1:12" x14ac:dyDescent="0.25">
      <c r="B92" s="760" t="s">
        <v>430</v>
      </c>
      <c r="C92" s="760"/>
      <c r="D92" s="61">
        <f>Rozvaha!C82</f>
        <v>43817</v>
      </c>
      <c r="E92" s="61">
        <f>Rozvaha!D82</f>
        <v>58519</v>
      </c>
      <c r="F92" s="61">
        <f>Rozvaha!E82</f>
        <v>75479</v>
      </c>
      <c r="G92" s="61">
        <f>Rozvaha!F82</f>
        <v>73477</v>
      </c>
      <c r="H92" s="61">
        <f>Rozvaha!G82</f>
        <v>99326</v>
      </c>
    </row>
    <row r="93" spans="1:12" x14ac:dyDescent="0.25">
      <c r="B93" s="760" t="s">
        <v>431</v>
      </c>
      <c r="C93" s="760"/>
      <c r="D93" s="61">
        <f>Rozvaha!C32-Rozvaha!C103</f>
        <v>46783.399999999994</v>
      </c>
      <c r="E93" s="61">
        <f>Rozvaha!D32-Rozvaha!D103</f>
        <v>37369</v>
      </c>
      <c r="F93" s="61">
        <f>Rozvaha!E32-Rozvaha!E103</f>
        <v>37849</v>
      </c>
      <c r="G93" s="61">
        <f>Rozvaha!F32-Rozvaha!F103</f>
        <v>38348</v>
      </c>
      <c r="H93" s="61">
        <f>Rozvaha!G32-Rozvaha!G103</f>
        <v>55456</v>
      </c>
    </row>
    <row r="94" spans="1:12" x14ac:dyDescent="0.25">
      <c r="B94" s="760" t="s">
        <v>432</v>
      </c>
      <c r="C94" s="760"/>
      <c r="D94" s="61"/>
      <c r="E94" s="61"/>
      <c r="F94" s="61"/>
      <c r="G94" s="61"/>
      <c r="H94" s="61"/>
    </row>
    <row r="95" spans="1:12" x14ac:dyDescent="0.25">
      <c r="B95" s="760" t="s">
        <v>433</v>
      </c>
      <c r="C95" s="760"/>
      <c r="D95" s="61"/>
      <c r="E95" s="61"/>
      <c r="F95" s="61"/>
      <c r="G95" s="61"/>
      <c r="H95" s="61"/>
    </row>
    <row r="96" spans="1:12" x14ac:dyDescent="0.25">
      <c r="B96" s="2" t="s">
        <v>434</v>
      </c>
      <c r="C96" s="2"/>
    </row>
    <row r="97" spans="1:11" ht="15.75" thickBot="1" x14ac:dyDescent="0.3">
      <c r="B97" s="2"/>
      <c r="C97" s="2"/>
    </row>
    <row r="98" spans="1:11" ht="15.75" thickBot="1" x14ac:dyDescent="0.3">
      <c r="B98" s="77" t="s">
        <v>377</v>
      </c>
      <c r="C98" s="774" t="s">
        <v>447</v>
      </c>
      <c r="D98" s="774"/>
      <c r="E98" s="774"/>
      <c r="F98" s="774"/>
      <c r="G98" s="775"/>
    </row>
    <row r="99" spans="1:11" x14ac:dyDescent="0.25">
      <c r="J99" s="85" t="s">
        <v>381</v>
      </c>
      <c r="K99" s="85" t="s">
        <v>382</v>
      </c>
    </row>
    <row r="100" spans="1:11" x14ac:dyDescent="0.25">
      <c r="A100" s="760" t="s">
        <v>436</v>
      </c>
      <c r="B100" s="760"/>
      <c r="C100" s="74" t="s">
        <v>379</v>
      </c>
      <c r="D100" s="74">
        <f>Rozvaha!C1</f>
        <v>2012</v>
      </c>
      <c r="E100" s="74">
        <f>Rozvaha!D1</f>
        <v>2013</v>
      </c>
      <c r="F100" s="74">
        <f>Rozvaha!E1</f>
        <v>2014</v>
      </c>
      <c r="G100" s="74">
        <f>Rozvaha!F1</f>
        <v>2015</v>
      </c>
      <c r="H100" s="74">
        <f>Rozvaha!G1</f>
        <v>2016</v>
      </c>
      <c r="J100" s="86" t="s">
        <v>441</v>
      </c>
      <c r="K100" s="62" t="s">
        <v>442</v>
      </c>
    </row>
    <row r="101" spans="1:11" x14ac:dyDescent="0.25">
      <c r="A101" s="760" t="s">
        <v>437</v>
      </c>
      <c r="B101" s="760"/>
      <c r="C101" s="84">
        <v>3.3</v>
      </c>
      <c r="D101" s="88">
        <f>D87/D88</f>
        <v>0.21476512758006833</v>
      </c>
      <c r="E101" s="88">
        <f t="shared" ref="E101:H101" si="26">E87/E88</f>
        <v>0.17764300688828991</v>
      </c>
      <c r="F101" s="88">
        <f t="shared" si="26"/>
        <v>0.10548054591770746</v>
      </c>
      <c r="G101" s="88">
        <f t="shared" si="26"/>
        <v>0.19360042790344567</v>
      </c>
      <c r="H101" s="88">
        <f t="shared" si="26"/>
        <v>0.19867010665744608</v>
      </c>
      <c r="J101" s="86" t="s">
        <v>443</v>
      </c>
      <c r="K101" s="62" t="s">
        <v>444</v>
      </c>
    </row>
    <row r="102" spans="1:11" x14ac:dyDescent="0.25">
      <c r="A102" s="760" t="s">
        <v>346</v>
      </c>
      <c r="B102" s="760"/>
      <c r="C102" s="84">
        <v>0.99</v>
      </c>
      <c r="D102" s="88">
        <f>D89/D88</f>
        <v>0</v>
      </c>
      <c r="E102" s="88">
        <f t="shared" ref="E102:H102" si="27">E89/E88</f>
        <v>0</v>
      </c>
      <c r="F102" s="88">
        <f t="shared" si="27"/>
        <v>0</v>
      </c>
      <c r="G102" s="88">
        <f t="shared" si="27"/>
        <v>0</v>
      </c>
      <c r="H102" s="88">
        <f t="shared" si="27"/>
        <v>0</v>
      </c>
      <c r="J102" s="86" t="s">
        <v>445</v>
      </c>
      <c r="K102" s="62" t="s">
        <v>446</v>
      </c>
    </row>
    <row r="103" spans="1:11" x14ac:dyDescent="0.25">
      <c r="A103" s="760" t="s">
        <v>438</v>
      </c>
      <c r="B103" s="760"/>
      <c r="C103" s="84">
        <v>0.6</v>
      </c>
      <c r="D103" s="88">
        <f>D90/D91</f>
        <v>1.9548064205843454</v>
      </c>
      <c r="E103" s="88">
        <f t="shared" ref="E103:H103" si="28">E90/E91</f>
        <v>1.3460451432429825</v>
      </c>
      <c r="F103" s="88">
        <f t="shared" si="28"/>
        <v>1.2996352871301831</v>
      </c>
      <c r="G103" s="88">
        <f t="shared" si="28"/>
        <v>1.4353535353535354</v>
      </c>
      <c r="H103" s="88">
        <f t="shared" si="28"/>
        <v>1.6059272025627096</v>
      </c>
    </row>
    <row r="104" spans="1:11" x14ac:dyDescent="0.25">
      <c r="A104" s="760" t="s">
        <v>439</v>
      </c>
      <c r="B104" s="760"/>
      <c r="C104" s="84">
        <v>1.4</v>
      </c>
      <c r="D104" s="88">
        <f>D92/D88</f>
        <v>0.1756812021875451</v>
      </c>
      <c r="E104" s="88">
        <f t="shared" ref="E104:H104" si="29">E92/E88</f>
        <v>0.17525905959868224</v>
      </c>
      <c r="F104" s="88">
        <f t="shared" si="29"/>
        <v>0.21222354059236681</v>
      </c>
      <c r="G104" s="88">
        <f t="shared" si="29"/>
        <v>0.21129745616002668</v>
      </c>
      <c r="H104" s="88">
        <f t="shared" si="29"/>
        <v>0.26418597228502272</v>
      </c>
    </row>
    <row r="105" spans="1:11" x14ac:dyDescent="0.25">
      <c r="A105" s="760" t="s">
        <v>440</v>
      </c>
      <c r="B105" s="760"/>
      <c r="C105" s="84">
        <v>6.56</v>
      </c>
      <c r="D105" s="88">
        <f>D93/D88</f>
        <v>0.18757477587285293</v>
      </c>
      <c r="E105" s="88">
        <f t="shared" ref="E105:H105" si="30">E93/E88</f>
        <v>0.11191674153938305</v>
      </c>
      <c r="F105" s="88">
        <f t="shared" si="30"/>
        <v>0.1064196503382463</v>
      </c>
      <c r="G105" s="88">
        <f t="shared" si="30"/>
        <v>0.11027715950330992</v>
      </c>
      <c r="H105" s="88">
        <f t="shared" si="30"/>
        <v>0.14750113040934118</v>
      </c>
    </row>
    <row r="106" spans="1:11" x14ac:dyDescent="0.25">
      <c r="A106" s="760" t="s">
        <v>403</v>
      </c>
      <c r="B106" s="760"/>
      <c r="C106" s="84">
        <v>-1</v>
      </c>
      <c r="D106" s="90"/>
      <c r="E106" s="90"/>
      <c r="F106" s="90"/>
      <c r="G106" s="90"/>
      <c r="H106" s="90"/>
    </row>
    <row r="107" spans="1:11" x14ac:dyDescent="0.25">
      <c r="A107" s="772" t="s">
        <v>436</v>
      </c>
      <c r="B107" s="772"/>
      <c r="C107" s="772"/>
      <c r="D107" s="71">
        <f>$C$101*D101+$C$102*D102+$C$103*D103+$C$104*D104+$C$105*D105+$C$106*D106</f>
        <v>3.3580529861533108</v>
      </c>
      <c r="E107" s="71">
        <f t="shared" ref="E107:H107" si="31">$C$101*E101+$C$102*E102+$C$103*E103+$C$104*E104+$C$105*E105+$C$106*E106</f>
        <v>2.3733855166136539</v>
      </c>
      <c r="F107" s="71">
        <f t="shared" si="31"/>
        <v>2.1230928368547533</v>
      </c>
      <c r="G107" s="71">
        <f t="shared" si="31"/>
        <v>2.5193281382592425</v>
      </c>
      <c r="H107" s="71">
        <f t="shared" si="31"/>
        <v>2.9566354501915075</v>
      </c>
    </row>
    <row r="108" spans="1:11" x14ac:dyDescent="0.25">
      <c r="A108" s="773" t="s">
        <v>382</v>
      </c>
      <c r="B108" s="773"/>
      <c r="C108" s="773"/>
      <c r="D108" s="91"/>
      <c r="E108" s="90"/>
      <c r="F108" s="90"/>
      <c r="G108" s="90"/>
      <c r="H108" s="90"/>
    </row>
  </sheetData>
  <mergeCells count="123">
    <mergeCell ref="A14:B14"/>
    <mergeCell ref="A107:C107"/>
    <mergeCell ref="A108:C108"/>
    <mergeCell ref="A105:B105"/>
    <mergeCell ref="A106:B106"/>
    <mergeCell ref="C98:G98"/>
    <mergeCell ref="B93:C93"/>
    <mergeCell ref="B94:C94"/>
    <mergeCell ref="B95:C95"/>
    <mergeCell ref="A100:B100"/>
    <mergeCell ref="A101:B101"/>
    <mergeCell ref="A102:B102"/>
    <mergeCell ref="A103:B103"/>
    <mergeCell ref="A104:B104"/>
    <mergeCell ref="B87:C87"/>
    <mergeCell ref="B88:C88"/>
    <mergeCell ref="B89:C89"/>
    <mergeCell ref="B90:C90"/>
    <mergeCell ref="B91:C91"/>
    <mergeCell ref="B92:C92"/>
    <mergeCell ref="J60:J61"/>
    <mergeCell ref="K60:K61"/>
    <mergeCell ref="J62:J63"/>
    <mergeCell ref="K62:K63"/>
    <mergeCell ref="B86:C86"/>
    <mergeCell ref="D60:D61"/>
    <mergeCell ref="E60:E61"/>
    <mergeCell ref="F60:F61"/>
    <mergeCell ref="G60:G61"/>
    <mergeCell ref="H60:H61"/>
    <mergeCell ref="B71:C71"/>
    <mergeCell ref="B72:C72"/>
    <mergeCell ref="A60:C61"/>
    <mergeCell ref="B67:C67"/>
    <mergeCell ref="B68:C68"/>
    <mergeCell ref="B69:C69"/>
    <mergeCell ref="B70:C70"/>
    <mergeCell ref="J73:J74"/>
    <mergeCell ref="K73:K74"/>
    <mergeCell ref="J75:J76"/>
    <mergeCell ref="K75:K76"/>
    <mergeCell ref="J77:J78"/>
    <mergeCell ref="K77:K78"/>
    <mergeCell ref="A81:C81"/>
    <mergeCell ref="A80:C80"/>
    <mergeCell ref="A76:B76"/>
    <mergeCell ref="A77:B77"/>
    <mergeCell ref="A78:B78"/>
    <mergeCell ref="A79:B79"/>
    <mergeCell ref="B73:C73"/>
    <mergeCell ref="A75:B75"/>
    <mergeCell ref="A56:B56"/>
    <mergeCell ref="A57:B57"/>
    <mergeCell ref="A58:B58"/>
    <mergeCell ref="A59:C59"/>
    <mergeCell ref="K43:K44"/>
    <mergeCell ref="J45:J46"/>
    <mergeCell ref="K45:K46"/>
    <mergeCell ref="J47:J48"/>
    <mergeCell ref="K47:K48"/>
    <mergeCell ref="A55:B55"/>
    <mergeCell ref="A44:B44"/>
    <mergeCell ref="A45:B45"/>
    <mergeCell ref="A46:B46"/>
    <mergeCell ref="A47:B47"/>
    <mergeCell ref="A48:C48"/>
    <mergeCell ref="A49:C50"/>
    <mergeCell ref="J54:J55"/>
    <mergeCell ref="K54:K55"/>
    <mergeCell ref="J56:J57"/>
    <mergeCell ref="K56:K57"/>
    <mergeCell ref="J58:J59"/>
    <mergeCell ref="K58:K59"/>
    <mergeCell ref="A54:B54"/>
    <mergeCell ref="B35:C35"/>
    <mergeCell ref="B36:C36"/>
    <mergeCell ref="B37:C37"/>
    <mergeCell ref="B29:C29"/>
    <mergeCell ref="A42:B42"/>
    <mergeCell ref="A43:B43"/>
    <mergeCell ref="A22:C23"/>
    <mergeCell ref="B30:C30"/>
    <mergeCell ref="B31:C31"/>
    <mergeCell ref="B32:C32"/>
    <mergeCell ref="B33:C33"/>
    <mergeCell ref="B34:C34"/>
    <mergeCell ref="C39:H39"/>
    <mergeCell ref="A41:B41"/>
    <mergeCell ref="L20:L21"/>
    <mergeCell ref="J10:J11"/>
    <mergeCell ref="K10:K11"/>
    <mergeCell ref="L10:L11"/>
    <mergeCell ref="J12:J13"/>
    <mergeCell ref="K12:K13"/>
    <mergeCell ref="L12:L13"/>
    <mergeCell ref="J14:J15"/>
    <mergeCell ref="K14:K15"/>
    <mergeCell ref="L14:L15"/>
    <mergeCell ref="J16:J17"/>
    <mergeCell ref="J8:J9"/>
    <mergeCell ref="K8:K9"/>
    <mergeCell ref="L8:L9"/>
    <mergeCell ref="A21:C21"/>
    <mergeCell ref="B4:C4"/>
    <mergeCell ref="B10:C10"/>
    <mergeCell ref="A15:B15"/>
    <mergeCell ref="A16:B16"/>
    <mergeCell ref="A17:B17"/>
    <mergeCell ref="A18:B18"/>
    <mergeCell ref="A19:B19"/>
    <mergeCell ref="A20:B20"/>
    <mergeCell ref="B5:C5"/>
    <mergeCell ref="B6:C6"/>
    <mergeCell ref="B7:C7"/>
    <mergeCell ref="B8:C8"/>
    <mergeCell ref="B9:C9"/>
    <mergeCell ref="K16:K17"/>
    <mergeCell ref="L16:L17"/>
    <mergeCell ref="J18:J19"/>
    <mergeCell ref="K18:K19"/>
    <mergeCell ref="L18:L19"/>
    <mergeCell ref="J20:J21"/>
    <mergeCell ref="K20:K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25533-B387-4538-8F7C-85999663A22B}">
  <dimension ref="A2:V23"/>
  <sheetViews>
    <sheetView workbookViewId="0">
      <selection activeCell="G29" sqref="G29"/>
    </sheetView>
  </sheetViews>
  <sheetFormatPr defaultRowHeight="15" x14ac:dyDescent="0.25"/>
  <cols>
    <col min="1" max="22" width="9.140625" style="2"/>
  </cols>
  <sheetData>
    <row r="2" spans="1:11" x14ac:dyDescent="0.25">
      <c r="A2" s="523" t="s">
        <v>1516</v>
      </c>
      <c r="B2" s="522"/>
      <c r="C2" s="522"/>
      <c r="D2" s="522"/>
      <c r="E2" s="522"/>
      <c r="F2" s="618">
        <f>Rozvaha!C1</f>
        <v>2012</v>
      </c>
      <c r="G2" s="618">
        <f>Rozvaha!D1</f>
        <v>2013</v>
      </c>
      <c r="H2" s="618">
        <f>Rozvaha!E1</f>
        <v>2014</v>
      </c>
      <c r="I2" s="618">
        <f>Rozvaha!F1</f>
        <v>2015</v>
      </c>
      <c r="J2" s="618">
        <f>Rozvaha!G1</f>
        <v>2016</v>
      </c>
    </row>
    <row r="3" spans="1:11" x14ac:dyDescent="0.25">
      <c r="A3" s="69" t="s">
        <v>3</v>
      </c>
      <c r="B3" s="69"/>
      <c r="C3" s="69"/>
      <c r="D3" s="69"/>
      <c r="E3" s="69"/>
      <c r="F3" s="116">
        <f>Rozvaha!C5</f>
        <v>648</v>
      </c>
      <c r="G3" s="116">
        <f>Rozvaha!D5</f>
        <v>992</v>
      </c>
      <c r="H3" s="116">
        <f>Rozvaha!E5</f>
        <v>1702</v>
      </c>
      <c r="I3" s="116">
        <f>Rozvaha!F5</f>
        <v>1874</v>
      </c>
      <c r="J3" s="116">
        <f>Rozvaha!G5</f>
        <v>2164</v>
      </c>
    </row>
    <row r="4" spans="1:11" x14ac:dyDescent="0.25">
      <c r="A4" s="69" t="s">
        <v>23</v>
      </c>
      <c r="B4" s="69"/>
      <c r="C4" s="69"/>
      <c r="D4" s="69"/>
      <c r="E4" s="69"/>
      <c r="F4" s="116">
        <f>Rozvaha!C14</f>
        <v>370196.4</v>
      </c>
      <c r="G4" s="116">
        <f>Rozvaha!D14</f>
        <v>436702</v>
      </c>
      <c r="H4" s="116">
        <f>Rozvaha!E14</f>
        <v>431678</v>
      </c>
      <c r="I4" s="116">
        <f>Rozvaha!F14</f>
        <v>416608</v>
      </c>
      <c r="J4" s="116">
        <f>Rozvaha!G14</f>
        <v>450024</v>
      </c>
    </row>
    <row r="5" spans="1:11" x14ac:dyDescent="0.25">
      <c r="A5" s="113" t="s">
        <v>503</v>
      </c>
      <c r="B5" s="113"/>
      <c r="C5" s="113"/>
      <c r="D5" s="113"/>
      <c r="E5" s="113"/>
      <c r="F5" s="120">
        <f>F3+F4</f>
        <v>370844.4</v>
      </c>
      <c r="G5" s="120">
        <f t="shared" ref="G5:J5" si="0">G3+G4</f>
        <v>437694</v>
      </c>
      <c r="H5" s="120">
        <f t="shared" si="0"/>
        <v>433380</v>
      </c>
      <c r="I5" s="120">
        <f t="shared" si="0"/>
        <v>418482</v>
      </c>
      <c r="J5" s="120">
        <f t="shared" si="0"/>
        <v>452188</v>
      </c>
    </row>
    <row r="6" spans="1:11" x14ac:dyDescent="0.25">
      <c r="A6" s="69" t="s">
        <v>61</v>
      </c>
      <c r="B6" s="69"/>
      <c r="C6" s="69"/>
      <c r="D6" s="69"/>
      <c r="E6" s="69"/>
      <c r="F6" s="116">
        <f>Rozvaha!C33</f>
        <v>108746.4</v>
      </c>
      <c r="G6" s="116">
        <f>Rozvaha!D33</f>
        <v>137642</v>
      </c>
      <c r="H6" s="116">
        <f>Rozvaha!E33</f>
        <v>138478</v>
      </c>
      <c r="I6" s="116">
        <f>Rozvaha!F33</f>
        <v>141368</v>
      </c>
      <c r="J6" s="116">
        <f>Rozvaha!G33</f>
        <v>146268</v>
      </c>
    </row>
    <row r="7" spans="1:11" x14ac:dyDescent="0.25">
      <c r="A7" s="69" t="s">
        <v>494</v>
      </c>
      <c r="B7" s="69"/>
      <c r="C7" s="69"/>
      <c r="D7" s="69"/>
      <c r="E7" s="69"/>
      <c r="F7" s="116">
        <f>Rozvaha!C40</f>
        <v>44240</v>
      </c>
      <c r="G7" s="116">
        <f>Rozvaha!D40</f>
        <v>44624</v>
      </c>
      <c r="H7" s="116">
        <f>Rozvaha!E40</f>
        <v>46660</v>
      </c>
      <c r="I7" s="116">
        <f>Rozvaha!F40</f>
        <v>47032</v>
      </c>
      <c r="J7" s="116">
        <f>Rozvaha!G40</f>
        <v>59126</v>
      </c>
    </row>
    <row r="8" spans="1:11" x14ac:dyDescent="0.25">
      <c r="A8" s="69" t="s">
        <v>504</v>
      </c>
      <c r="B8" s="69"/>
      <c r="C8" s="69"/>
      <c r="D8" s="69"/>
      <c r="E8" s="69"/>
      <c r="F8" s="116">
        <f>Rozvaha!C63</f>
        <v>2150</v>
      </c>
      <c r="G8" s="116">
        <f>Rozvaha!D63</f>
        <v>3748</v>
      </c>
      <c r="H8" s="116">
        <f>Rozvaha!E63</f>
        <v>3202</v>
      </c>
      <c r="I8" s="116">
        <f>Rozvaha!F63</f>
        <v>9038</v>
      </c>
      <c r="J8" s="116">
        <f>Rozvaha!G63</f>
        <v>13886</v>
      </c>
    </row>
    <row r="9" spans="1:11" x14ac:dyDescent="0.25">
      <c r="A9" s="69" t="s">
        <v>495</v>
      </c>
      <c r="B9" s="69"/>
      <c r="C9" s="69"/>
      <c r="D9" s="69"/>
      <c r="E9" s="69"/>
      <c r="F9" s="116">
        <f>Rozvaha!C103</f>
        <v>118534</v>
      </c>
      <c r="G9" s="116">
        <f>Rozvaha!D103</f>
        <v>167874</v>
      </c>
      <c r="H9" s="116">
        <f>Rozvaha!E103</f>
        <v>179620</v>
      </c>
      <c r="I9" s="116">
        <f>Rozvaha!F103</f>
        <v>193110</v>
      </c>
      <c r="J9" s="116">
        <f>Rozvaha!G103</f>
        <v>200754</v>
      </c>
    </row>
    <row r="10" spans="1:11" x14ac:dyDescent="0.25">
      <c r="A10" s="69" t="s">
        <v>505</v>
      </c>
      <c r="B10" s="69"/>
      <c r="C10" s="69"/>
      <c r="D10" s="69"/>
      <c r="E10" s="69"/>
      <c r="F10" s="116">
        <f>Rozvaha!C119</f>
        <v>30044</v>
      </c>
      <c r="G10" s="116">
        <f>Rozvaha!D119</f>
        <v>34970</v>
      </c>
      <c r="H10" s="116">
        <f>Rozvaha!E119</f>
        <v>19580</v>
      </c>
      <c r="I10" s="116">
        <f>Rozvaha!F119</f>
        <v>13574</v>
      </c>
      <c r="J10" s="116">
        <f>Rozvaha!G119</f>
        <v>11916</v>
      </c>
    </row>
    <row r="11" spans="1:11" x14ac:dyDescent="0.25">
      <c r="A11" s="90" t="s">
        <v>510</v>
      </c>
      <c r="B11" s="90"/>
      <c r="C11" s="90"/>
      <c r="D11" s="90"/>
      <c r="E11" s="90"/>
      <c r="F11" s="117">
        <f>Rozvaha!C58</f>
        <v>12331</v>
      </c>
      <c r="G11" s="117">
        <f>Rozvaha!D58</f>
        <v>22977</v>
      </c>
      <c r="H11" s="117">
        <f>Rozvaha!E58</f>
        <v>32331</v>
      </c>
      <c r="I11" s="117">
        <f>Rozvaha!F58</f>
        <v>43058</v>
      </c>
      <c r="J11" s="117">
        <f>Rozvaha!G58</f>
        <v>50816</v>
      </c>
    </row>
    <row r="12" spans="1:11" x14ac:dyDescent="0.25">
      <c r="A12" s="90" t="s">
        <v>511</v>
      </c>
      <c r="B12" s="90"/>
      <c r="C12" s="90"/>
      <c r="D12" s="90"/>
      <c r="E12" s="90"/>
      <c r="F12" s="110">
        <f>F11/F9</f>
        <v>0.10402922368265645</v>
      </c>
      <c r="G12" s="110">
        <f t="shared" ref="G12:J12" si="1">G11/G9</f>
        <v>0.13687051002537617</v>
      </c>
      <c r="H12" s="110">
        <f t="shared" si="1"/>
        <v>0.17999665961474223</v>
      </c>
      <c r="I12" s="110">
        <f t="shared" si="1"/>
        <v>0.22297136347159649</v>
      </c>
      <c r="J12" s="110">
        <f t="shared" si="1"/>
        <v>0.25312571605048967</v>
      </c>
    </row>
    <row r="13" spans="1:11" x14ac:dyDescent="0.25">
      <c r="A13" s="90" t="s">
        <v>506</v>
      </c>
      <c r="B13" s="90"/>
      <c r="C13" s="90"/>
      <c r="D13" s="90"/>
      <c r="E13" s="90"/>
      <c r="F13" s="118">
        <f>IF(F12&gt;0.15,0.15,F12)</f>
        <v>0.10402922368265645</v>
      </c>
      <c r="G13" s="118">
        <f t="shared" ref="G13:J13" si="2">IF(G12&gt;0.15,0.15,G12)</f>
        <v>0.13687051002537617</v>
      </c>
      <c r="H13" s="118">
        <f t="shared" si="2"/>
        <v>0.15</v>
      </c>
      <c r="I13" s="118">
        <f t="shared" si="2"/>
        <v>0.15</v>
      </c>
      <c r="J13" s="118">
        <f t="shared" si="2"/>
        <v>0.15</v>
      </c>
    </row>
    <row r="14" spans="1:11" x14ac:dyDescent="0.25">
      <c r="A14" s="90" t="s">
        <v>492</v>
      </c>
      <c r="B14" s="90"/>
      <c r="C14" s="90"/>
      <c r="D14" s="90"/>
      <c r="E14" s="90"/>
      <c r="F14" s="117">
        <f>F13*F9</f>
        <v>12331</v>
      </c>
      <c r="G14" s="117">
        <f t="shared" ref="G14:J14" si="3">G13*G9</f>
        <v>22977</v>
      </c>
      <c r="H14" s="117">
        <f t="shared" si="3"/>
        <v>26943</v>
      </c>
      <c r="I14" s="117">
        <f t="shared" si="3"/>
        <v>28966.5</v>
      </c>
      <c r="J14" s="117">
        <f t="shared" si="3"/>
        <v>30113.1</v>
      </c>
    </row>
    <row r="15" spans="1:11" x14ac:dyDescent="0.25">
      <c r="A15" s="60" t="s">
        <v>507</v>
      </c>
      <c r="B15" s="60"/>
      <c r="C15" s="60"/>
      <c r="D15" s="60"/>
      <c r="E15" s="60"/>
      <c r="F15" s="119">
        <f>F6+F7+F8-F9-F10+F14</f>
        <v>18889.399999999994</v>
      </c>
      <c r="G15" s="119">
        <f t="shared" ref="G15:J15" si="4">G6+G7+G8-G9-G10+G14</f>
        <v>6147</v>
      </c>
      <c r="H15" s="119">
        <f t="shared" si="4"/>
        <v>16083</v>
      </c>
      <c r="I15" s="119">
        <f t="shared" si="4"/>
        <v>19720.5</v>
      </c>
      <c r="J15" s="119">
        <f t="shared" si="4"/>
        <v>36723.1</v>
      </c>
    </row>
    <row r="16" spans="1:11" x14ac:dyDescent="0.25">
      <c r="A16" s="113" t="s">
        <v>502</v>
      </c>
      <c r="B16" s="113"/>
      <c r="C16" s="113"/>
      <c r="D16" s="113"/>
      <c r="E16" s="113"/>
      <c r="F16" s="120">
        <f>F5+F15</f>
        <v>389733.80000000005</v>
      </c>
      <c r="G16" s="120">
        <f t="shared" ref="G16:J16" si="5">G5+G15</f>
        <v>443841</v>
      </c>
      <c r="H16" s="120">
        <f t="shared" si="5"/>
        <v>449463</v>
      </c>
      <c r="I16" s="120">
        <f t="shared" si="5"/>
        <v>438202.5</v>
      </c>
      <c r="J16" s="120">
        <f t="shared" si="5"/>
        <v>488911.1</v>
      </c>
      <c r="K16" s="121"/>
    </row>
    <row r="19" spans="1:10" x14ac:dyDescent="0.25">
      <c r="A19" s="69" t="s">
        <v>482</v>
      </c>
      <c r="B19" s="69"/>
      <c r="C19" s="69"/>
      <c r="D19" s="69"/>
      <c r="E19" s="69"/>
      <c r="F19" s="116">
        <f>VZZ!C31</f>
        <v>53356</v>
      </c>
      <c r="G19" s="116">
        <f>VZZ!D31</f>
        <v>59128</v>
      </c>
      <c r="H19" s="116">
        <f>VZZ!E31</f>
        <v>37221</v>
      </c>
      <c r="I19" s="116">
        <f>VZZ!F31</f>
        <v>67033</v>
      </c>
      <c r="J19" s="116">
        <f>VZZ!G31</f>
        <v>74415</v>
      </c>
    </row>
    <row r="20" spans="1:10" x14ac:dyDescent="0.25">
      <c r="A20" s="90" t="s">
        <v>985</v>
      </c>
      <c r="B20" s="90"/>
      <c r="C20" s="90"/>
      <c r="D20" s="90"/>
      <c r="E20" s="90"/>
      <c r="F20" s="117">
        <f>VZZ!C21-VZZ!C24</f>
        <v>0</v>
      </c>
      <c r="G20" s="117">
        <f>VZZ!D21-VZZ!D24</f>
        <v>0</v>
      </c>
      <c r="H20" s="117">
        <f>VZZ!E21-VZZ!E24</f>
        <v>0</v>
      </c>
      <c r="I20" s="117">
        <f>-(VZZ!F21-VZZ!F24)</f>
        <v>-8714</v>
      </c>
      <c r="J20" s="117">
        <f>VZZ!G21-VZZ!G24</f>
        <v>0</v>
      </c>
    </row>
    <row r="21" spans="1:10" x14ac:dyDescent="0.25">
      <c r="A21" s="90" t="s">
        <v>508</v>
      </c>
      <c r="B21" s="90"/>
      <c r="C21" s="90"/>
      <c r="D21" s="90"/>
      <c r="E21" s="90"/>
      <c r="F21" s="117">
        <f>-VZZ!C27</f>
        <v>-733</v>
      </c>
      <c r="G21" s="117">
        <f>-VZZ!D27</f>
        <v>-548</v>
      </c>
      <c r="H21" s="117">
        <f>-VZZ!E27</f>
        <v>-406</v>
      </c>
      <c r="I21" s="117">
        <f>-VZZ!F27</f>
        <v>-102</v>
      </c>
      <c r="J21" s="117">
        <f>-VZZ!G27</f>
        <v>-2833</v>
      </c>
    </row>
    <row r="22" spans="1:10" x14ac:dyDescent="0.25">
      <c r="A22" s="90" t="s">
        <v>509</v>
      </c>
      <c r="B22" s="90"/>
      <c r="C22" s="90"/>
      <c r="D22" s="90"/>
      <c r="E22" s="90"/>
      <c r="F22" s="117">
        <f>VZZ!C28</f>
        <v>95</v>
      </c>
      <c r="G22" s="117">
        <f>VZZ!D28</f>
        <v>745</v>
      </c>
      <c r="H22" s="117">
        <f>VZZ!E28</f>
        <v>8470</v>
      </c>
      <c r="I22" s="117">
        <f>VZZ!F28</f>
        <v>4250</v>
      </c>
      <c r="J22" s="117">
        <f>VZZ!G28</f>
        <v>380</v>
      </c>
    </row>
    <row r="23" spans="1:10" x14ac:dyDescent="0.25">
      <c r="A23" s="113" t="s">
        <v>516</v>
      </c>
      <c r="B23" s="113"/>
      <c r="C23" s="113"/>
      <c r="D23" s="113"/>
      <c r="E23" s="113"/>
      <c r="F23" s="120">
        <f>SUM(F19:F22)</f>
        <v>52718</v>
      </c>
      <c r="G23" s="120">
        <f t="shared" ref="G23:J23" si="6">SUM(G19:G22)</f>
        <v>59325</v>
      </c>
      <c r="H23" s="120">
        <f t="shared" si="6"/>
        <v>45285</v>
      </c>
      <c r="I23" s="120">
        <f t="shared" si="6"/>
        <v>62467</v>
      </c>
      <c r="J23" s="120">
        <f t="shared" si="6"/>
        <v>71962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35</vt:i4>
      </vt:variant>
    </vt:vector>
  </HeadingPairs>
  <TitlesOfParts>
    <vt:vector size="35" baseType="lpstr">
      <vt:lpstr>Rozvaha</vt:lpstr>
      <vt:lpstr>VZZ</vt:lpstr>
      <vt:lpstr>CashFlow</vt:lpstr>
      <vt:lpstr>Strategická analýza</vt:lpstr>
      <vt:lpstr>H+V analýza</vt:lpstr>
      <vt:lpstr>Poměrové ukazatele</vt:lpstr>
      <vt:lpstr>EBITDA</vt:lpstr>
      <vt:lpstr>Komplexní analýza</vt:lpstr>
      <vt:lpstr>Nutný-Nenutný</vt:lpstr>
      <vt:lpstr>Generátory</vt:lpstr>
      <vt:lpstr>Plán</vt:lpstr>
      <vt:lpstr>Pohledávky</vt:lpstr>
      <vt:lpstr>Dluhopisy</vt:lpstr>
      <vt:lpstr>Vnější potenciál</vt:lpstr>
      <vt:lpstr>CAPM</vt:lpstr>
      <vt:lpstr>Stavebnicová</vt:lpstr>
      <vt:lpstr>WACC</vt:lpstr>
      <vt:lpstr>DCF</vt:lpstr>
      <vt:lpstr>EVA</vt:lpstr>
      <vt:lpstr>KČV</vt:lpstr>
      <vt:lpstr>Účetní</vt:lpstr>
      <vt:lpstr>Majetkové</vt:lpstr>
      <vt:lpstr>Substanční</vt:lpstr>
      <vt:lpstr>Likvidační</vt:lpstr>
      <vt:lpstr>Kombinované</vt:lpstr>
      <vt:lpstr>Tržní kapitalizace</vt:lpstr>
      <vt:lpstr>Specifika</vt:lpstr>
      <vt:lpstr>Synergie</vt:lpstr>
      <vt:lpstr>Srovnatelné podniky</vt:lpstr>
      <vt:lpstr>Burza</vt:lpstr>
      <vt:lpstr>Srovnatelné transakce</vt:lpstr>
      <vt:lpstr>Multiplikátory</vt:lpstr>
      <vt:lpstr>P_E</vt:lpstr>
      <vt:lpstr>Výběr majetkové metody</vt:lpstr>
      <vt:lpstr>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Škulcová</dc:creator>
  <cp:lastModifiedBy>Šanderová Veronika</cp:lastModifiedBy>
  <dcterms:created xsi:type="dcterms:W3CDTF">2021-08-16T07:07:25Z</dcterms:created>
  <dcterms:modified xsi:type="dcterms:W3CDTF">2021-09-10T10:59:27Z</dcterms:modified>
</cp:coreProperties>
</file>